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24226"/>
  <mc:AlternateContent xmlns:mc="http://schemas.openxmlformats.org/markup-compatibility/2006">
    <mc:Choice Requires="x15">
      <x15ac:absPath xmlns:x15ac="http://schemas.microsoft.com/office/spreadsheetml/2010/11/ac" url="C:\Users\carri\Desktop\"/>
    </mc:Choice>
  </mc:AlternateContent>
  <xr:revisionPtr revIDLastSave="0" documentId="13_ncr:1_{5597BD8B-C4B6-495B-B176-BA51C7B3A0E9}" xr6:coauthVersionLast="45" xr6:coauthVersionMax="45" xr10:uidLastSave="{00000000-0000-0000-0000-000000000000}"/>
  <bookViews>
    <workbookView xWindow="-110" yWindow="-110" windowWidth="22780" windowHeight="14660" xr2:uid="{00000000-000D-0000-FFFF-FFFF00000000}"/>
  </bookViews>
  <sheets>
    <sheet name="Instructions" sheetId="9" r:id="rId1"/>
    <sheet name="Bacc CIP Code Survey" sheetId="3" r:id="rId2"/>
    <sheet name="CIP 2010 and CIP 2020 Crosswalk" sheetId="6" r:id="rId3"/>
    <sheet name="Lists for Data Validation" sheetId="8" state="hidden" r:id="rId4"/>
    <sheet name="CIP 2020 to SOC 2018 Crosswalk" sheetId="5" r:id="rId5"/>
  </sheets>
  <definedNames>
    <definedName name="_AMO_UniqueIdentifier" hidden="1">"'cd7efe6a-728f-424f-b836-7f62902977bc'"</definedName>
    <definedName name="_xlnm._FilterDatabase" localSheetId="1" hidden="1">'Bacc CIP Code Survey'!$A$2:$I$2</definedName>
    <definedName name="_xlnm._FilterDatabase" localSheetId="2" hidden="1">'CIP 2010 and CIP 2020 Crosswalk'!$A$3:$G$3</definedName>
    <definedName name="_xlnm._FilterDatabase" localSheetId="4" hidden="1">'CIP 2020 to SOC 2018 Crosswalk'!$A$3:$D$6100</definedName>
    <definedName name="Approval_Date" localSheetId="1">'Bacc CIP Code Survey'!#REF!</definedName>
    <definedName name="Approval_Date">#REF!</definedName>
    <definedName name="CCNUM">#REF!</definedName>
    <definedName name="College" localSheetId="1">'Bacc CIP Code Survey'!$A$2</definedName>
    <definedName name="College">#REF!</definedName>
    <definedName name="_xlnm.Print_Area" localSheetId="1">'Bacc CIP Code Survey'!$A$2:$G$183</definedName>
    <definedName name="Program_Title" localSheetId="1">'Bacc CIP Code Survey'!$B$2</definedName>
    <definedName name="Program_Title">#REF!</definedName>
    <definedName name="Type" localSheetId="1">'Bacc CIP Code Survey'!#REF!</definedName>
    <definedName name="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99" i="6" l="1"/>
  <c r="A1999" i="6"/>
  <c r="F1998" i="6"/>
  <c r="A1998" i="6"/>
  <c r="F1997" i="6"/>
  <c r="A1997" i="6"/>
  <c r="F1996" i="6"/>
  <c r="A1996" i="6"/>
  <c r="F1995" i="6"/>
  <c r="A1995" i="6"/>
  <c r="F1994" i="6"/>
  <c r="A1994" i="6"/>
  <c r="F1993" i="6"/>
  <c r="A1993" i="6"/>
  <c r="F1992" i="6"/>
  <c r="A1992" i="6"/>
  <c r="F1991" i="6"/>
  <c r="A1991" i="6"/>
  <c r="F1990" i="6"/>
  <c r="A1990" i="6"/>
  <c r="F1989" i="6"/>
  <c r="A1989" i="6"/>
  <c r="F1988" i="6"/>
  <c r="A1988" i="6"/>
  <c r="F1987" i="6"/>
  <c r="A1987" i="6"/>
  <c r="F1986" i="6"/>
  <c r="A1986" i="6"/>
  <c r="F1985" i="6"/>
  <c r="A1985" i="6"/>
  <c r="F1984" i="6"/>
  <c r="A1984" i="6"/>
  <c r="F1983" i="6"/>
  <c r="A1983" i="6"/>
  <c r="F1982" i="6"/>
  <c r="A1982" i="6"/>
  <c r="F1981" i="6"/>
  <c r="A1981" i="6"/>
  <c r="F1980" i="6"/>
  <c r="A1980" i="6"/>
  <c r="F1979" i="6"/>
  <c r="A1979" i="6"/>
  <c r="F1978" i="6"/>
  <c r="A1978" i="6"/>
  <c r="F1977" i="6"/>
  <c r="A1977" i="6"/>
  <c r="F1976" i="6"/>
  <c r="A1976" i="6"/>
  <c r="F1975" i="6"/>
  <c r="A1975" i="6"/>
  <c r="F1974" i="6"/>
  <c r="A1974" i="6"/>
  <c r="F1973" i="6"/>
  <c r="A1973" i="6"/>
  <c r="F1972" i="6"/>
  <c r="A1972" i="6"/>
  <c r="F1971" i="6"/>
  <c r="A1971" i="6"/>
  <c r="F1970" i="6"/>
  <c r="A1970" i="6"/>
  <c r="F1969" i="6"/>
  <c r="A1969" i="6"/>
  <c r="F1968" i="6"/>
  <c r="A1968" i="6"/>
  <c r="F1967" i="6"/>
  <c r="A1967" i="6"/>
  <c r="F1966" i="6"/>
  <c r="A1966" i="6"/>
  <c r="F1965" i="6"/>
  <c r="A1965" i="6"/>
  <c r="F1964" i="6"/>
  <c r="A1964" i="6"/>
  <c r="F1963" i="6"/>
  <c r="A1963" i="6"/>
  <c r="F1962" i="6"/>
  <c r="A1962" i="6"/>
  <c r="F1961" i="6"/>
  <c r="A1961" i="6"/>
  <c r="F1960" i="6"/>
  <c r="A1960" i="6"/>
  <c r="F1959" i="6"/>
  <c r="A1959" i="6"/>
  <c r="F1958" i="6"/>
  <c r="A1958" i="6"/>
  <c r="F1957" i="6"/>
  <c r="A1957" i="6"/>
  <c r="F1956" i="6"/>
  <c r="A1956" i="6"/>
  <c r="F1955" i="6"/>
  <c r="A1955" i="6"/>
  <c r="F1954" i="6"/>
  <c r="A1954" i="6"/>
  <c r="F1953" i="6"/>
  <c r="A1953" i="6"/>
  <c r="F1952" i="6"/>
  <c r="A1952" i="6"/>
  <c r="F1951" i="6"/>
  <c r="A1951" i="6"/>
  <c r="F1950" i="6"/>
  <c r="A1950" i="6"/>
  <c r="F1949" i="6"/>
  <c r="A1949" i="6"/>
  <c r="F1948" i="6"/>
  <c r="A1948" i="6"/>
  <c r="F1947" i="6"/>
  <c r="A1947" i="6"/>
  <c r="F1946" i="6"/>
  <c r="A1946" i="6"/>
  <c r="F1945" i="6"/>
  <c r="A1945" i="6"/>
  <c r="F1944" i="6"/>
  <c r="A1944" i="6"/>
  <c r="F1943" i="6"/>
  <c r="A1943" i="6"/>
  <c r="F1942" i="6"/>
  <c r="A1942" i="6"/>
  <c r="F1941" i="6"/>
  <c r="A1941" i="6"/>
  <c r="F1940" i="6"/>
  <c r="A1940" i="6"/>
  <c r="F1939" i="6"/>
  <c r="A1939" i="6"/>
  <c r="F1938" i="6"/>
  <c r="A1938" i="6"/>
  <c r="F1937" i="6"/>
  <c r="A1937" i="6"/>
  <c r="F1936" i="6"/>
  <c r="A1936" i="6"/>
  <c r="F1935" i="6"/>
  <c r="A1935" i="6"/>
  <c r="F1934" i="6"/>
  <c r="A1934" i="6"/>
  <c r="F1933" i="6"/>
  <c r="A1933" i="6"/>
  <c r="F1932" i="6"/>
  <c r="A1932" i="6"/>
  <c r="F1931" i="6"/>
  <c r="A1931" i="6"/>
  <c r="F1930" i="6"/>
  <c r="A1930" i="6"/>
  <c r="F1929" i="6"/>
  <c r="A1929" i="6"/>
  <c r="F1928" i="6"/>
  <c r="A1928" i="6"/>
  <c r="F1927" i="6"/>
  <c r="A1927" i="6"/>
  <c r="F1926" i="6"/>
  <c r="A1926" i="6"/>
  <c r="F1925" i="6"/>
  <c r="A1925" i="6"/>
  <c r="F1924" i="6"/>
  <c r="A1924" i="6"/>
  <c r="F1923" i="6"/>
  <c r="A1923" i="6"/>
  <c r="F1922" i="6"/>
  <c r="A1922" i="6"/>
  <c r="F1921" i="6"/>
  <c r="A1921" i="6"/>
  <c r="F1920" i="6"/>
  <c r="A1920" i="6"/>
  <c r="F1919" i="6"/>
  <c r="A1919" i="6"/>
  <c r="F1918" i="6"/>
  <c r="A1918" i="6"/>
  <c r="F1917" i="6"/>
  <c r="A1917" i="6"/>
  <c r="F1916" i="6"/>
  <c r="A1916" i="6"/>
  <c r="F1915" i="6"/>
  <c r="A1915" i="6"/>
  <c r="F1914" i="6"/>
  <c r="A1914" i="6"/>
  <c r="F1913" i="6"/>
  <c r="A1913" i="6"/>
  <c r="F1912" i="6"/>
  <c r="A1912" i="6"/>
  <c r="F1911" i="6"/>
  <c r="A1911" i="6"/>
  <c r="F1910" i="6"/>
  <c r="A1910" i="6"/>
  <c r="F1909" i="6"/>
  <c r="A1909" i="6"/>
  <c r="F1908" i="6"/>
  <c r="A1908" i="6"/>
  <c r="F1907" i="6"/>
  <c r="A1907" i="6"/>
  <c r="F1906" i="6"/>
  <c r="A1906" i="6"/>
  <c r="F1905" i="6"/>
  <c r="A1905" i="6"/>
  <c r="F1904" i="6"/>
  <c r="A1904" i="6"/>
  <c r="F1903" i="6"/>
  <c r="A1903" i="6"/>
  <c r="F1902" i="6"/>
  <c r="A1902" i="6"/>
  <c r="F1901" i="6"/>
  <c r="A1901" i="6"/>
  <c r="F1900" i="6"/>
  <c r="A1900" i="6"/>
  <c r="F1899" i="6"/>
  <c r="A1899" i="6"/>
  <c r="F1898" i="6"/>
  <c r="A1898" i="6"/>
  <c r="F1897" i="6"/>
  <c r="A1897" i="6"/>
  <c r="F1896" i="6"/>
  <c r="A1896" i="6"/>
  <c r="F1895" i="6"/>
  <c r="A1895" i="6"/>
  <c r="F1894" i="6"/>
  <c r="A1894" i="6"/>
  <c r="F1893" i="6"/>
  <c r="A1893" i="6"/>
  <c r="F1892" i="6"/>
  <c r="A1892" i="6"/>
  <c r="F1891" i="6"/>
  <c r="A1891" i="6"/>
  <c r="F1890" i="6"/>
  <c r="A1890" i="6"/>
  <c r="F1889" i="6"/>
  <c r="A1889" i="6"/>
  <c r="F1888" i="6"/>
  <c r="A1888" i="6"/>
  <c r="F1887" i="6"/>
  <c r="A1887" i="6"/>
  <c r="F1886" i="6"/>
  <c r="A1886" i="6"/>
  <c r="F1885" i="6"/>
  <c r="A1885" i="6"/>
  <c r="F1884" i="6"/>
  <c r="A1884" i="6"/>
  <c r="F1883" i="6"/>
  <c r="A1883" i="6"/>
  <c r="F1882" i="6"/>
  <c r="A1882" i="6"/>
  <c r="F1881" i="6"/>
  <c r="A1881" i="6"/>
  <c r="F1880" i="6"/>
  <c r="A1880" i="6"/>
  <c r="F1879" i="6"/>
  <c r="A1879" i="6"/>
  <c r="F1878" i="6"/>
  <c r="A1878" i="6"/>
  <c r="F1877" i="6"/>
  <c r="A1877" i="6"/>
  <c r="F1876" i="6"/>
  <c r="A1876" i="6"/>
  <c r="F1875" i="6"/>
  <c r="A1875" i="6"/>
  <c r="F1874" i="6"/>
  <c r="A1874" i="6"/>
  <c r="F1873" i="6"/>
  <c r="A1873" i="6"/>
  <c r="F1872" i="6"/>
  <c r="A1872" i="6"/>
  <c r="F1871" i="6"/>
  <c r="A1871" i="6"/>
  <c r="F1870" i="6"/>
  <c r="A1870" i="6"/>
  <c r="F1869" i="6"/>
  <c r="A1869" i="6"/>
  <c r="F1868" i="6"/>
  <c r="A1868" i="6"/>
  <c r="F1867" i="6"/>
  <c r="A1867" i="6"/>
  <c r="F1866" i="6"/>
  <c r="A1866" i="6"/>
  <c r="F1865" i="6"/>
  <c r="A1865" i="6"/>
  <c r="F1864" i="6"/>
  <c r="A1864" i="6"/>
  <c r="F1863" i="6"/>
  <c r="A1863" i="6"/>
  <c r="F1862" i="6"/>
  <c r="A1862" i="6"/>
  <c r="F1861" i="6"/>
  <c r="A1861" i="6"/>
  <c r="F1860" i="6"/>
  <c r="A1860" i="6"/>
  <c r="F1859" i="6"/>
  <c r="A1859" i="6"/>
  <c r="F1858" i="6"/>
  <c r="A1858" i="6"/>
  <c r="F1857" i="6"/>
  <c r="A1857" i="6"/>
  <c r="F1856" i="6"/>
  <c r="A1856" i="6"/>
  <c r="F1855" i="6"/>
  <c r="F1854" i="6"/>
  <c r="A1854" i="6"/>
  <c r="F1853" i="6"/>
  <c r="A1853" i="6"/>
  <c r="F1852" i="6"/>
  <c r="A1852" i="6"/>
  <c r="F1851" i="6"/>
  <c r="A1851" i="6"/>
  <c r="F1850" i="6"/>
  <c r="A1850" i="6"/>
  <c r="F1849" i="6"/>
  <c r="A1849" i="6"/>
  <c r="F1848" i="6"/>
  <c r="A1848" i="6"/>
  <c r="F1847" i="6"/>
  <c r="A1847" i="6"/>
  <c r="F1846" i="6"/>
  <c r="A1846" i="6"/>
  <c r="F1845" i="6"/>
  <c r="F1844" i="6"/>
  <c r="F1843" i="6"/>
  <c r="F1842" i="6"/>
  <c r="F1841" i="6"/>
  <c r="F1840" i="6"/>
  <c r="F1839" i="6"/>
  <c r="F1838" i="6"/>
  <c r="F1837" i="6"/>
  <c r="F1836" i="6"/>
  <c r="F1835" i="6"/>
  <c r="F1834" i="6"/>
  <c r="F1833" i="6"/>
  <c r="A1833" i="6"/>
  <c r="F1832" i="6"/>
  <c r="A1832" i="6"/>
  <c r="F1831" i="6"/>
  <c r="A1831" i="6"/>
  <c r="F1830" i="6"/>
  <c r="A1830" i="6"/>
  <c r="F1829" i="6"/>
  <c r="A1829" i="6"/>
  <c r="F1828" i="6"/>
  <c r="A1828" i="6"/>
  <c r="F1827" i="6"/>
  <c r="A1827" i="6"/>
  <c r="F1826" i="6"/>
  <c r="A1826" i="6"/>
  <c r="F1825" i="6"/>
  <c r="A1825" i="6"/>
  <c r="F1824" i="6"/>
  <c r="A1824" i="6"/>
  <c r="F1823" i="6"/>
  <c r="A1823" i="6"/>
  <c r="F1822" i="6"/>
  <c r="A1822" i="6"/>
  <c r="F1821" i="6"/>
  <c r="A1821" i="6"/>
  <c r="F1820" i="6"/>
  <c r="A1820" i="6"/>
  <c r="F1819" i="6"/>
  <c r="A1819" i="6"/>
  <c r="F1818" i="6"/>
  <c r="A1818" i="6"/>
  <c r="F1817" i="6"/>
  <c r="A1817" i="6"/>
  <c r="F1816" i="6"/>
  <c r="A1816" i="6"/>
  <c r="F1815" i="6"/>
  <c r="A1815" i="6"/>
  <c r="F1814" i="6"/>
  <c r="A1814" i="6"/>
  <c r="F1813" i="6"/>
  <c r="A1813" i="6"/>
  <c r="F1812" i="6"/>
  <c r="F1811" i="6"/>
  <c r="F1810" i="6"/>
  <c r="A1810" i="6"/>
  <c r="F1809" i="6"/>
  <c r="A1809" i="6"/>
  <c r="F1808" i="6"/>
  <c r="F1807" i="6"/>
  <c r="A1807" i="6"/>
  <c r="F1806" i="6"/>
  <c r="A1806" i="6"/>
  <c r="F1805" i="6"/>
  <c r="A1805" i="6"/>
  <c r="F1804" i="6"/>
  <c r="A1804" i="6"/>
  <c r="F1803" i="6"/>
  <c r="A1803" i="6"/>
  <c r="F1802" i="6"/>
  <c r="A1802" i="6"/>
  <c r="F1801" i="6"/>
  <c r="A1801" i="6"/>
  <c r="F1800" i="6"/>
  <c r="A1800" i="6"/>
  <c r="F1799" i="6"/>
  <c r="A1799" i="6"/>
  <c r="F1798" i="6"/>
  <c r="A1798" i="6"/>
  <c r="F1797" i="6"/>
  <c r="A1797" i="6"/>
  <c r="F1796" i="6"/>
  <c r="F1795" i="6"/>
  <c r="A1795" i="6"/>
  <c r="F1794" i="6"/>
  <c r="A1794" i="6"/>
  <c r="F1793" i="6"/>
  <c r="A1793" i="6"/>
  <c r="F1792" i="6"/>
  <c r="A1792" i="6"/>
  <c r="F1791" i="6"/>
  <c r="A1791" i="6"/>
  <c r="F1790" i="6"/>
  <c r="A1790" i="6"/>
  <c r="F1789" i="6"/>
  <c r="A1789" i="6"/>
  <c r="F1788" i="6"/>
  <c r="A1788" i="6"/>
  <c r="F1787" i="6"/>
  <c r="F1786" i="6"/>
  <c r="A1786" i="6"/>
  <c r="F1785" i="6"/>
  <c r="A1785" i="6"/>
  <c r="F1784" i="6"/>
  <c r="A1784" i="6"/>
  <c r="F1783" i="6"/>
  <c r="A1783" i="6"/>
  <c r="F1782" i="6"/>
  <c r="A1782" i="6"/>
  <c r="F1781" i="6"/>
  <c r="A1781" i="6"/>
  <c r="F1780" i="6"/>
  <c r="A1780" i="6"/>
  <c r="F1779" i="6"/>
  <c r="A1779" i="6"/>
  <c r="F1778" i="6"/>
  <c r="A1778" i="6"/>
  <c r="F1777" i="6"/>
  <c r="A1777" i="6"/>
  <c r="F1776" i="6"/>
  <c r="A1776" i="6"/>
  <c r="F1775" i="6"/>
  <c r="A1775" i="6"/>
  <c r="F1774" i="6"/>
  <c r="A1774" i="6"/>
  <c r="F1773" i="6"/>
  <c r="F1772" i="6"/>
  <c r="A1772" i="6"/>
  <c r="F1771" i="6"/>
  <c r="A1771" i="6"/>
  <c r="F1770" i="6"/>
  <c r="A1770" i="6"/>
  <c r="F1769" i="6"/>
  <c r="A1769" i="6"/>
  <c r="F1768" i="6"/>
  <c r="A1768" i="6"/>
  <c r="F1767" i="6"/>
  <c r="A1767" i="6"/>
  <c r="F1766" i="6"/>
  <c r="F1765" i="6"/>
  <c r="A1765" i="6"/>
  <c r="F1764" i="6"/>
  <c r="A1764" i="6"/>
  <c r="F1763" i="6"/>
  <c r="A1763" i="6"/>
  <c r="F1762" i="6"/>
  <c r="A1762" i="6"/>
  <c r="F1761" i="6"/>
  <c r="A1761" i="6"/>
  <c r="F1760" i="6"/>
  <c r="A1760" i="6"/>
  <c r="F1759" i="6"/>
  <c r="A1759" i="6"/>
  <c r="F1758" i="6"/>
  <c r="A1758" i="6"/>
  <c r="F1757" i="6"/>
  <c r="A1757" i="6"/>
  <c r="F1756" i="6"/>
  <c r="F1755" i="6"/>
  <c r="A1755" i="6"/>
  <c r="F1754" i="6"/>
  <c r="A1754" i="6"/>
  <c r="F1753" i="6"/>
  <c r="A1753" i="6"/>
  <c r="F1752" i="6"/>
  <c r="A1752" i="6"/>
  <c r="F1751" i="6"/>
  <c r="A1751" i="6"/>
  <c r="F1750" i="6"/>
  <c r="A1750" i="6"/>
  <c r="F1749" i="6"/>
  <c r="A1749" i="6"/>
  <c r="F1748" i="6"/>
  <c r="A1748" i="6"/>
  <c r="F1747" i="6"/>
  <c r="F1746" i="6"/>
  <c r="A1746" i="6"/>
  <c r="F1745" i="6"/>
  <c r="A1745" i="6"/>
  <c r="F1744" i="6"/>
  <c r="A1744" i="6"/>
  <c r="F1743" i="6"/>
  <c r="A1743" i="6"/>
  <c r="F1742" i="6"/>
  <c r="F1741" i="6"/>
  <c r="F1740" i="6"/>
  <c r="A1740" i="6"/>
  <c r="F1739" i="6"/>
  <c r="A1739" i="6"/>
  <c r="F1738" i="6"/>
  <c r="A1738" i="6"/>
  <c r="F1737" i="6"/>
  <c r="A1737" i="6"/>
  <c r="F1736" i="6"/>
  <c r="A1736" i="6"/>
  <c r="F1735" i="6"/>
  <c r="A1735" i="6"/>
  <c r="F1734" i="6"/>
  <c r="A1734" i="6"/>
  <c r="F1733" i="6"/>
  <c r="A1733" i="6"/>
  <c r="F1732" i="6"/>
  <c r="A1732" i="6"/>
  <c r="F1731" i="6"/>
  <c r="A1731" i="6"/>
  <c r="F1730" i="6"/>
  <c r="A1730" i="6"/>
  <c r="F1729" i="6"/>
  <c r="A1729" i="6"/>
  <c r="F1728" i="6"/>
  <c r="A1728" i="6"/>
  <c r="F1727" i="6"/>
  <c r="A1727" i="6"/>
  <c r="F1726" i="6"/>
  <c r="A1726" i="6"/>
  <c r="F1725" i="6"/>
  <c r="A1725" i="6"/>
  <c r="F1724" i="6"/>
  <c r="A1724" i="6"/>
  <c r="F1723" i="6"/>
  <c r="F1722" i="6"/>
  <c r="F1721" i="6"/>
  <c r="F1720" i="6"/>
  <c r="A1720" i="6"/>
  <c r="F1719" i="6"/>
  <c r="A1719" i="6"/>
  <c r="F1718" i="6"/>
  <c r="A1718" i="6"/>
  <c r="F1717" i="6"/>
  <c r="A1717" i="6"/>
  <c r="F1716" i="6"/>
  <c r="A1716" i="6"/>
  <c r="F1715" i="6"/>
  <c r="A1715" i="6"/>
  <c r="F1714" i="6"/>
  <c r="A1714" i="6"/>
  <c r="F1713" i="6"/>
  <c r="A1713" i="6"/>
  <c r="F1712" i="6"/>
  <c r="A1712" i="6"/>
  <c r="F1711" i="6"/>
  <c r="A1711" i="6"/>
  <c r="F1710" i="6"/>
  <c r="A1710" i="6"/>
  <c r="F1709" i="6"/>
  <c r="A1709" i="6"/>
  <c r="F1708" i="6"/>
  <c r="A1708" i="6"/>
  <c r="F1707" i="6"/>
  <c r="A1707" i="6"/>
  <c r="F1706" i="6"/>
  <c r="A1706" i="6"/>
  <c r="F1705" i="6"/>
  <c r="F1704" i="6"/>
  <c r="A1704" i="6"/>
  <c r="F1703" i="6"/>
  <c r="A1703" i="6"/>
  <c r="F1702" i="6"/>
  <c r="A1702" i="6"/>
  <c r="F1701" i="6"/>
  <c r="A1701" i="6"/>
  <c r="F1700" i="6"/>
  <c r="F1699" i="6"/>
  <c r="F1698" i="6"/>
  <c r="A1698" i="6"/>
  <c r="F1697" i="6"/>
  <c r="A1697" i="6"/>
  <c r="F1696" i="6"/>
  <c r="A1696" i="6"/>
  <c r="F1695" i="6"/>
  <c r="A1695" i="6"/>
  <c r="F1694" i="6"/>
  <c r="A1694" i="6"/>
  <c r="F1693" i="6"/>
  <c r="A1693" i="6"/>
  <c r="F1692" i="6"/>
  <c r="A1692" i="6"/>
  <c r="F1691" i="6"/>
  <c r="A1691" i="6"/>
  <c r="F1690" i="6"/>
  <c r="A1690" i="6"/>
  <c r="F1689" i="6"/>
  <c r="A1689" i="6"/>
  <c r="F1688" i="6"/>
  <c r="A1688" i="6"/>
  <c r="F1687" i="6"/>
  <c r="A1687" i="6"/>
  <c r="F1686" i="6"/>
  <c r="A1686" i="6"/>
  <c r="F1685" i="6"/>
  <c r="A1685" i="6"/>
  <c r="F1684" i="6"/>
  <c r="A1684" i="6"/>
  <c r="F1683" i="6"/>
  <c r="A1683" i="6"/>
  <c r="F1682" i="6"/>
  <c r="A1682" i="6"/>
  <c r="F1681" i="6"/>
  <c r="A1681" i="6"/>
  <c r="F1680" i="6"/>
  <c r="A1680" i="6"/>
  <c r="F1679" i="6"/>
  <c r="A1679" i="6"/>
  <c r="F1678" i="6"/>
  <c r="A1678" i="6"/>
  <c r="F1677" i="6"/>
  <c r="A1677" i="6"/>
  <c r="F1676" i="6"/>
  <c r="A1676" i="6"/>
  <c r="F1675" i="6"/>
  <c r="A1675" i="6"/>
  <c r="F1674" i="6"/>
  <c r="A1674" i="6"/>
  <c r="F1673" i="6"/>
  <c r="A1673" i="6"/>
  <c r="F1672" i="6"/>
  <c r="A1672" i="6"/>
  <c r="F1671" i="6"/>
  <c r="A1671" i="6"/>
  <c r="F1670" i="6"/>
  <c r="A1670" i="6"/>
  <c r="F1669" i="6"/>
  <c r="A1669" i="6"/>
  <c r="F1668" i="6"/>
  <c r="A1668" i="6"/>
  <c r="F1667" i="6"/>
  <c r="A1667" i="6"/>
  <c r="F1666" i="6"/>
  <c r="A1666" i="6"/>
  <c r="F1665" i="6"/>
  <c r="A1665" i="6"/>
  <c r="F1664" i="6"/>
  <c r="A1664" i="6"/>
  <c r="F1663" i="6"/>
  <c r="A1663" i="6"/>
  <c r="F1662" i="6"/>
  <c r="A1662" i="6"/>
  <c r="F1661" i="6"/>
  <c r="A1661" i="6"/>
  <c r="F1660" i="6"/>
  <c r="A1660" i="6"/>
  <c r="F1659" i="6"/>
  <c r="A1659" i="6"/>
  <c r="F1658" i="6"/>
  <c r="A1658" i="6"/>
  <c r="F1657" i="6"/>
  <c r="A1657" i="6"/>
  <c r="F1656" i="6"/>
  <c r="A1656" i="6"/>
  <c r="F1655" i="6"/>
  <c r="A1655" i="6"/>
  <c r="F1654" i="6"/>
  <c r="A1654" i="6"/>
  <c r="F1653" i="6"/>
  <c r="F1652" i="6"/>
  <c r="F1651" i="6"/>
  <c r="F1650" i="6"/>
  <c r="F1649" i="6"/>
  <c r="F1648" i="6"/>
  <c r="A1648" i="6"/>
  <c r="F1647" i="6"/>
  <c r="A1647" i="6"/>
  <c r="F1646" i="6"/>
  <c r="A1646" i="6"/>
  <c r="F1645" i="6"/>
  <c r="A1645" i="6"/>
  <c r="F1644" i="6"/>
  <c r="A1644" i="6"/>
  <c r="F1643" i="6"/>
  <c r="A1643" i="6"/>
  <c r="F1642" i="6"/>
  <c r="A1642" i="6"/>
  <c r="F1641" i="6"/>
  <c r="A1641" i="6"/>
  <c r="F1640" i="6"/>
  <c r="A1640" i="6"/>
  <c r="F1639" i="6"/>
  <c r="A1639" i="6"/>
  <c r="F1638" i="6"/>
  <c r="F1637" i="6"/>
  <c r="A1637" i="6"/>
  <c r="F1636" i="6"/>
  <c r="A1636" i="6"/>
  <c r="F1635" i="6"/>
  <c r="A1635" i="6"/>
  <c r="F1634" i="6"/>
  <c r="A1634" i="6"/>
  <c r="F1633" i="6"/>
  <c r="A1633" i="6"/>
  <c r="F1632" i="6"/>
  <c r="A1632" i="6"/>
  <c r="F1631" i="6"/>
  <c r="A1631" i="6"/>
  <c r="F1630" i="6"/>
  <c r="A1630" i="6"/>
  <c r="F1629" i="6"/>
  <c r="A1629" i="6"/>
  <c r="F1628" i="6"/>
  <c r="A1628" i="6"/>
  <c r="F1627" i="6"/>
  <c r="A1627" i="6"/>
  <c r="F1626" i="6"/>
  <c r="A1626" i="6"/>
  <c r="F1625" i="6"/>
  <c r="A1625" i="6"/>
  <c r="F1624" i="6"/>
  <c r="A1624" i="6"/>
  <c r="F1623" i="6"/>
  <c r="A1623" i="6"/>
  <c r="F1622" i="6"/>
  <c r="A1622" i="6"/>
  <c r="F1621" i="6"/>
  <c r="A1621" i="6"/>
  <c r="F1620" i="6"/>
  <c r="A1620" i="6"/>
  <c r="F1619" i="6"/>
  <c r="F1618" i="6"/>
  <c r="F1617" i="6"/>
  <c r="F1616" i="6"/>
  <c r="A1616" i="6"/>
  <c r="F1615" i="6"/>
  <c r="A1615" i="6"/>
  <c r="F1614" i="6"/>
  <c r="A1614" i="6"/>
  <c r="F1613" i="6"/>
  <c r="A1613" i="6"/>
  <c r="F1612" i="6"/>
  <c r="A1612" i="6"/>
  <c r="F1611" i="6"/>
  <c r="A1611" i="6"/>
  <c r="F1610" i="6"/>
  <c r="A1610" i="6"/>
  <c r="F1609" i="6"/>
  <c r="A1609" i="6"/>
  <c r="F1608" i="6"/>
  <c r="A1608" i="6"/>
  <c r="F1607" i="6"/>
  <c r="A1607" i="6"/>
  <c r="F1606" i="6"/>
  <c r="A1606" i="6"/>
  <c r="F1605" i="6"/>
  <c r="A1605" i="6"/>
  <c r="F1604" i="6"/>
  <c r="F1603" i="6"/>
  <c r="A1603" i="6"/>
  <c r="F1602" i="6"/>
  <c r="F1601" i="6"/>
  <c r="F1600" i="6"/>
  <c r="F1599" i="6"/>
  <c r="A1599" i="6"/>
  <c r="F1598" i="6"/>
  <c r="A1598" i="6"/>
  <c r="F1597" i="6"/>
  <c r="A1597" i="6"/>
  <c r="F1596" i="6"/>
  <c r="A1596" i="6"/>
  <c r="F1595" i="6"/>
  <c r="A1595" i="6"/>
  <c r="F1594" i="6"/>
  <c r="A1594" i="6"/>
  <c r="F1593" i="6"/>
  <c r="A1593" i="6"/>
  <c r="F1592" i="6"/>
  <c r="A1592" i="6"/>
  <c r="F1591" i="6"/>
  <c r="A1591" i="6"/>
  <c r="F1590" i="6"/>
  <c r="A1590" i="6"/>
  <c r="F1589" i="6"/>
  <c r="A1589" i="6"/>
  <c r="F1588" i="6"/>
  <c r="A1588" i="6"/>
  <c r="F1587" i="6"/>
  <c r="A1587" i="6"/>
  <c r="F1586" i="6"/>
  <c r="A1586" i="6"/>
  <c r="F1585" i="6"/>
  <c r="A1585" i="6"/>
  <c r="F1584" i="6"/>
  <c r="A1584" i="6"/>
  <c r="F1583" i="6"/>
  <c r="A1583" i="6"/>
  <c r="F1582" i="6"/>
  <c r="A1582" i="6"/>
  <c r="F1581" i="6"/>
  <c r="A1581" i="6"/>
  <c r="F1580" i="6"/>
  <c r="A1580" i="6"/>
  <c r="F1579" i="6"/>
  <c r="A1579" i="6"/>
  <c r="F1578" i="6"/>
  <c r="A1578" i="6"/>
  <c r="F1577" i="6"/>
  <c r="A1577" i="6"/>
  <c r="F1576" i="6"/>
  <c r="A1576" i="6"/>
  <c r="F1575" i="6"/>
  <c r="A1575" i="6"/>
  <c r="F1574" i="6"/>
  <c r="A1574" i="6"/>
  <c r="F1573" i="6"/>
  <c r="A1573" i="6"/>
  <c r="F1572" i="6"/>
  <c r="A1572" i="6"/>
  <c r="F1571" i="6"/>
  <c r="A1571" i="6"/>
  <c r="F1570" i="6"/>
  <c r="A1570" i="6"/>
  <c r="F1569" i="6"/>
  <c r="A1569" i="6"/>
  <c r="F1568" i="6"/>
  <c r="F1567" i="6"/>
  <c r="F1566" i="6"/>
  <c r="F1565" i="6"/>
  <c r="F1564" i="6"/>
  <c r="F1563" i="6"/>
  <c r="A1563" i="6"/>
  <c r="F1562" i="6"/>
  <c r="A1562" i="6"/>
  <c r="F1561" i="6"/>
  <c r="A1561" i="6"/>
  <c r="F1560" i="6"/>
  <c r="A1560" i="6"/>
  <c r="F1559" i="6"/>
  <c r="A1559" i="6"/>
  <c r="F1558" i="6"/>
  <c r="A1558" i="6"/>
  <c r="F1557" i="6"/>
  <c r="A1557" i="6"/>
  <c r="F1556" i="6"/>
  <c r="A1556" i="6"/>
  <c r="F1555" i="6"/>
  <c r="A1555" i="6"/>
  <c r="F1554" i="6"/>
  <c r="F1553" i="6"/>
  <c r="F1552" i="6"/>
  <c r="F1551" i="6"/>
  <c r="F1550" i="6"/>
  <c r="F1549" i="6"/>
  <c r="A1549" i="6"/>
  <c r="F1548" i="6"/>
  <c r="F1547" i="6"/>
  <c r="A1547" i="6"/>
  <c r="F1546" i="6"/>
  <c r="A1546" i="6"/>
  <c r="F1545" i="6"/>
  <c r="F1544" i="6"/>
  <c r="F1543" i="6"/>
  <c r="A1543" i="6"/>
  <c r="F1542" i="6"/>
  <c r="A1542" i="6"/>
  <c r="F1541" i="6"/>
  <c r="A1541" i="6"/>
  <c r="F1540" i="6"/>
  <c r="A1540" i="6"/>
  <c r="F1539" i="6"/>
  <c r="A1539" i="6"/>
  <c r="F1538" i="6"/>
  <c r="A1538" i="6"/>
  <c r="F1537" i="6"/>
  <c r="A1537" i="6"/>
  <c r="F1536" i="6"/>
  <c r="A1536" i="6"/>
  <c r="F1535" i="6"/>
  <c r="A1535" i="6"/>
  <c r="F1534" i="6"/>
  <c r="A1534" i="6"/>
  <c r="F1533" i="6"/>
  <c r="A1533" i="6"/>
  <c r="F1532" i="6"/>
  <c r="A1532" i="6"/>
  <c r="F1531" i="6"/>
  <c r="A1531" i="6"/>
  <c r="F1530" i="6"/>
  <c r="A1530" i="6"/>
  <c r="F1529" i="6"/>
  <c r="A1529" i="6"/>
  <c r="F1528" i="6"/>
  <c r="A1528" i="6"/>
  <c r="F1527" i="6"/>
  <c r="A1527" i="6"/>
  <c r="F1526" i="6"/>
  <c r="A1526" i="6"/>
  <c r="F1525" i="6"/>
  <c r="A1525" i="6"/>
  <c r="F1524" i="6"/>
  <c r="A1524" i="6"/>
  <c r="F1523" i="6"/>
  <c r="A1523" i="6"/>
  <c r="F1522" i="6"/>
  <c r="A1522" i="6"/>
  <c r="F1521" i="6"/>
  <c r="A1521" i="6"/>
  <c r="F1520" i="6"/>
  <c r="F1519" i="6"/>
  <c r="F1518" i="6"/>
  <c r="F1517" i="6"/>
  <c r="F1516" i="6"/>
  <c r="A1516" i="6"/>
  <c r="F1515" i="6"/>
  <c r="A1515" i="6"/>
  <c r="F1514" i="6"/>
  <c r="A1514" i="6"/>
  <c r="F1513" i="6"/>
  <c r="A1513" i="6"/>
  <c r="F1512" i="6"/>
  <c r="A1512" i="6"/>
  <c r="F1511" i="6"/>
  <c r="A1511" i="6"/>
  <c r="F1510" i="6"/>
  <c r="A1510" i="6"/>
  <c r="F1509" i="6"/>
  <c r="A1509" i="6"/>
  <c r="F1508" i="6"/>
  <c r="A1508" i="6"/>
  <c r="F1507" i="6"/>
  <c r="A1507" i="6"/>
  <c r="F1506" i="6"/>
  <c r="A1506" i="6"/>
  <c r="F1505" i="6"/>
  <c r="A1505" i="6"/>
  <c r="F1504" i="6"/>
  <c r="A1504" i="6"/>
  <c r="F1503" i="6"/>
  <c r="A1503" i="6"/>
  <c r="F1502" i="6"/>
  <c r="A1502" i="6"/>
  <c r="F1501" i="6"/>
  <c r="A1501" i="6"/>
  <c r="F1500" i="6"/>
  <c r="A1500" i="6"/>
  <c r="F1499" i="6"/>
  <c r="A1499" i="6"/>
  <c r="F1498" i="6"/>
  <c r="A1498" i="6"/>
  <c r="F1497" i="6"/>
  <c r="A1497" i="6"/>
  <c r="F1496" i="6"/>
  <c r="A1496" i="6"/>
  <c r="F1495" i="6"/>
  <c r="F1494" i="6"/>
  <c r="A1494" i="6"/>
  <c r="F1493" i="6"/>
  <c r="A1493" i="6"/>
  <c r="F1492" i="6"/>
  <c r="A1492" i="6"/>
  <c r="F1491" i="6"/>
  <c r="A1491" i="6"/>
  <c r="F1490" i="6"/>
  <c r="A1490" i="6"/>
  <c r="F1489" i="6"/>
  <c r="A1489" i="6"/>
  <c r="F1488" i="6"/>
  <c r="A1488" i="6"/>
  <c r="F1487" i="6"/>
  <c r="A1487" i="6"/>
  <c r="F1486" i="6"/>
  <c r="A1486" i="6"/>
  <c r="F1485" i="6"/>
  <c r="A1485" i="6"/>
  <c r="F1484" i="6"/>
  <c r="A1484" i="6"/>
  <c r="F1483" i="6"/>
  <c r="A1483" i="6"/>
  <c r="F1482" i="6"/>
  <c r="A1482" i="6"/>
  <c r="F1481" i="6"/>
  <c r="A1481" i="6"/>
  <c r="F1480" i="6"/>
  <c r="A1480" i="6"/>
  <c r="F1479" i="6"/>
  <c r="F1478" i="6"/>
  <c r="F1477" i="6"/>
  <c r="F1476" i="6"/>
  <c r="F1475" i="6"/>
  <c r="A1475" i="6"/>
  <c r="F1474" i="6"/>
  <c r="A1474" i="6"/>
  <c r="F1473" i="6"/>
  <c r="A1473" i="6"/>
  <c r="F1472" i="6"/>
  <c r="A1472" i="6"/>
  <c r="F1471" i="6"/>
  <c r="A1471" i="6"/>
  <c r="F1470" i="6"/>
  <c r="A1470" i="6"/>
  <c r="F1469" i="6"/>
  <c r="A1469" i="6"/>
  <c r="F1468" i="6"/>
  <c r="A1468" i="6"/>
  <c r="F1467" i="6"/>
  <c r="A1467" i="6"/>
  <c r="F1466" i="6"/>
  <c r="A1466" i="6"/>
  <c r="F1465" i="6"/>
  <c r="A1465" i="6"/>
  <c r="F1464" i="6"/>
  <c r="A1464" i="6"/>
  <c r="F1463" i="6"/>
  <c r="A1463" i="6"/>
  <c r="F1462" i="6"/>
  <c r="A1462" i="6"/>
  <c r="F1461" i="6"/>
  <c r="A1461" i="6"/>
  <c r="F1460" i="6"/>
  <c r="A1460" i="6"/>
  <c r="F1459" i="6"/>
  <c r="A1459" i="6"/>
  <c r="F1458" i="6"/>
  <c r="A1458" i="6"/>
  <c r="F1457" i="6"/>
  <c r="A1457" i="6"/>
  <c r="F1456" i="6"/>
  <c r="A1456" i="6"/>
  <c r="F1455" i="6"/>
  <c r="A1455" i="6"/>
  <c r="F1454" i="6"/>
  <c r="A1454" i="6"/>
  <c r="F1453" i="6"/>
  <c r="A1453" i="6"/>
  <c r="F1452" i="6"/>
  <c r="A1452" i="6"/>
  <c r="F1451" i="6"/>
  <c r="F1450" i="6"/>
  <c r="F1449" i="6"/>
  <c r="F1448" i="6"/>
  <c r="A1448" i="6"/>
  <c r="F1447" i="6"/>
  <c r="A1447" i="6"/>
  <c r="F1446" i="6"/>
  <c r="A1446" i="6"/>
  <c r="F1445" i="6"/>
  <c r="A1445" i="6"/>
  <c r="F1444" i="6"/>
  <c r="A1444" i="6"/>
  <c r="F1443" i="6"/>
  <c r="A1443" i="6"/>
  <c r="F1442" i="6"/>
  <c r="A1442" i="6"/>
  <c r="F1441" i="6"/>
  <c r="A1441" i="6"/>
  <c r="F1440" i="6"/>
  <c r="A1440" i="6"/>
  <c r="F1439" i="6"/>
  <c r="A1439" i="6"/>
  <c r="F1438" i="6"/>
  <c r="A1438" i="6"/>
  <c r="F1437" i="6"/>
  <c r="A1437" i="6"/>
  <c r="F1436" i="6"/>
  <c r="A1436" i="6"/>
  <c r="F1435" i="6"/>
  <c r="A1435" i="6"/>
  <c r="F1434" i="6"/>
  <c r="A1434" i="6"/>
  <c r="F1433" i="6"/>
  <c r="A1433" i="6"/>
  <c r="F1432" i="6"/>
  <c r="A1432" i="6"/>
  <c r="F1431" i="6"/>
  <c r="A1431" i="6"/>
  <c r="F1430" i="6"/>
  <c r="A1430" i="6"/>
  <c r="F1429" i="6"/>
  <c r="A1429" i="6"/>
  <c r="F1428" i="6"/>
  <c r="A1428" i="6"/>
  <c r="F1427" i="6"/>
  <c r="F1426" i="6"/>
  <c r="A1426" i="6"/>
  <c r="F1425" i="6"/>
  <c r="A1425" i="6"/>
  <c r="F1424" i="6"/>
  <c r="A1424" i="6"/>
  <c r="F1423" i="6"/>
  <c r="A1423" i="6"/>
  <c r="F1422" i="6"/>
  <c r="A1422" i="6"/>
  <c r="F1421" i="6"/>
  <c r="A1421" i="6"/>
  <c r="F1420" i="6"/>
  <c r="F1419" i="6"/>
  <c r="A1419" i="6"/>
  <c r="F1418" i="6"/>
  <c r="A1418" i="6"/>
  <c r="F1417" i="6"/>
  <c r="A1417" i="6"/>
  <c r="F1416" i="6"/>
  <c r="A1416" i="6"/>
  <c r="F1415" i="6"/>
  <c r="A1415" i="6"/>
  <c r="F1414" i="6"/>
  <c r="A1414" i="6"/>
  <c r="F1413" i="6"/>
  <c r="A1413" i="6"/>
  <c r="F1412" i="6"/>
  <c r="A1412" i="6"/>
  <c r="F1411" i="6"/>
  <c r="A1411" i="6"/>
  <c r="F1410" i="6"/>
  <c r="A1410" i="6"/>
  <c r="F1409" i="6"/>
  <c r="A1409" i="6"/>
  <c r="F1408" i="6"/>
  <c r="A1408" i="6"/>
  <c r="F1407" i="6"/>
  <c r="A1407" i="6"/>
  <c r="F1406" i="6"/>
  <c r="A1406" i="6"/>
  <c r="F1405" i="6"/>
  <c r="A1405" i="6"/>
  <c r="F1404" i="6"/>
  <c r="A1404" i="6"/>
  <c r="F1403" i="6"/>
  <c r="F1402" i="6"/>
  <c r="A1402" i="6"/>
  <c r="F1401" i="6"/>
  <c r="A1401" i="6"/>
  <c r="F1400" i="6"/>
  <c r="A1400" i="6"/>
  <c r="F1399" i="6"/>
  <c r="A1399" i="6"/>
  <c r="F1398" i="6"/>
  <c r="A1398" i="6"/>
  <c r="F1397" i="6"/>
  <c r="A1397" i="6"/>
  <c r="F1396" i="6"/>
  <c r="A1396" i="6"/>
  <c r="F1395" i="6"/>
  <c r="A1395" i="6"/>
  <c r="F1394" i="6"/>
  <c r="A1394" i="6"/>
  <c r="F1393" i="6"/>
  <c r="A1393" i="6"/>
  <c r="F1392" i="6"/>
  <c r="A1392" i="6"/>
  <c r="F1391" i="6"/>
  <c r="A1391" i="6"/>
  <c r="F1390" i="6"/>
  <c r="A1390" i="6"/>
  <c r="F1389" i="6"/>
  <c r="A1389" i="6"/>
  <c r="F1388" i="6"/>
  <c r="A1388" i="6"/>
  <c r="F1387" i="6"/>
  <c r="A1387" i="6"/>
  <c r="F1386" i="6"/>
  <c r="A1386" i="6"/>
  <c r="F1385" i="6"/>
  <c r="F1384" i="6"/>
  <c r="F1383" i="6"/>
  <c r="A1383" i="6"/>
  <c r="F1382" i="6"/>
  <c r="A1382" i="6"/>
  <c r="F1381" i="6"/>
  <c r="A1381" i="6"/>
  <c r="F1380" i="6"/>
  <c r="A1380" i="6"/>
  <c r="F1379" i="6"/>
  <c r="A1379" i="6"/>
  <c r="F1378" i="6"/>
  <c r="A1378" i="6"/>
  <c r="F1377" i="6"/>
  <c r="A1377" i="6"/>
  <c r="F1376" i="6"/>
  <c r="A1376" i="6"/>
  <c r="F1375" i="6"/>
  <c r="A1375" i="6"/>
  <c r="F1374" i="6"/>
  <c r="A1374" i="6"/>
  <c r="F1373" i="6"/>
  <c r="A1373" i="6"/>
  <c r="F1372" i="6"/>
  <c r="A1372" i="6"/>
  <c r="F1371" i="6"/>
  <c r="A1371" i="6"/>
  <c r="F1370" i="6"/>
  <c r="A1370" i="6"/>
  <c r="F1369" i="6"/>
  <c r="A1369" i="6"/>
  <c r="F1368" i="6"/>
  <c r="A1368" i="6"/>
  <c r="F1367" i="6"/>
  <c r="A1367" i="6"/>
  <c r="F1366" i="6"/>
  <c r="A1366" i="6"/>
  <c r="F1365" i="6"/>
  <c r="A1365" i="6"/>
  <c r="F1364" i="6"/>
  <c r="A1364" i="6"/>
  <c r="F1363" i="6"/>
  <c r="A1363" i="6"/>
  <c r="F1362" i="6"/>
  <c r="A1362" i="6"/>
  <c r="F1361" i="6"/>
  <c r="A1361" i="6"/>
  <c r="F1360" i="6"/>
  <c r="A1360" i="6"/>
  <c r="F1359" i="6"/>
  <c r="A1359" i="6"/>
  <c r="F1358" i="6"/>
  <c r="A1358" i="6"/>
  <c r="F1357" i="6"/>
  <c r="A1357" i="6"/>
  <c r="F1356" i="6"/>
  <c r="A1356" i="6"/>
  <c r="F1355" i="6"/>
  <c r="A1355" i="6"/>
  <c r="F1354" i="6"/>
  <c r="A1354" i="6"/>
  <c r="F1353" i="6"/>
  <c r="F1352" i="6"/>
  <c r="A1352" i="6"/>
  <c r="F1351" i="6"/>
  <c r="A1351" i="6"/>
  <c r="F1350" i="6"/>
  <c r="A1350" i="6"/>
  <c r="F1349" i="6"/>
  <c r="A1349" i="6"/>
  <c r="F1348" i="6"/>
  <c r="A1348" i="6"/>
  <c r="F1347" i="6"/>
  <c r="A1347" i="6"/>
  <c r="F1346" i="6"/>
  <c r="A1346" i="6"/>
  <c r="F1345" i="6"/>
  <c r="A1345" i="6"/>
  <c r="F1344" i="6"/>
  <c r="A1344" i="6"/>
  <c r="F1343" i="6"/>
  <c r="A1343" i="6"/>
  <c r="F1342" i="6"/>
  <c r="A1342" i="6"/>
  <c r="F1341" i="6"/>
  <c r="A1341" i="6"/>
  <c r="F1340" i="6"/>
  <c r="A1340" i="6"/>
  <c r="F1339" i="6"/>
  <c r="A1339" i="6"/>
  <c r="F1338" i="6"/>
  <c r="A1338" i="6"/>
  <c r="F1337" i="6"/>
  <c r="F1336" i="6"/>
  <c r="A1336" i="6"/>
  <c r="F1335" i="6"/>
  <c r="A1335" i="6"/>
  <c r="F1334" i="6"/>
  <c r="A1334" i="6"/>
  <c r="F1333" i="6"/>
  <c r="A1333" i="6"/>
  <c r="F1332" i="6"/>
  <c r="A1332" i="6"/>
  <c r="F1331" i="6"/>
  <c r="A1331" i="6"/>
  <c r="F1330" i="6"/>
  <c r="A1330" i="6"/>
  <c r="F1329" i="6"/>
  <c r="A1329" i="6"/>
  <c r="F1328" i="6"/>
  <c r="A1328" i="6"/>
  <c r="F1327" i="6"/>
  <c r="A1327" i="6"/>
  <c r="F1326" i="6"/>
  <c r="A1326" i="6"/>
  <c r="F1325" i="6"/>
  <c r="A1325" i="6"/>
  <c r="F1324" i="6"/>
  <c r="A1324" i="6"/>
  <c r="F1323" i="6"/>
  <c r="A1323" i="6"/>
  <c r="F1322" i="6"/>
  <c r="A1322" i="6"/>
  <c r="F1321" i="6"/>
  <c r="A1321" i="6"/>
  <c r="F1320" i="6"/>
  <c r="A1320" i="6"/>
  <c r="F1319" i="6"/>
  <c r="F1318" i="6"/>
  <c r="F1317" i="6"/>
  <c r="F1316" i="6"/>
  <c r="F1315" i="6"/>
  <c r="F1314" i="6"/>
  <c r="F1313" i="6"/>
  <c r="A1313" i="6"/>
  <c r="F1312" i="6"/>
  <c r="A1312" i="6"/>
  <c r="F1311" i="6"/>
  <c r="A1311" i="6"/>
  <c r="F1310" i="6"/>
  <c r="A1310" i="6"/>
  <c r="F1309" i="6"/>
  <c r="A1309" i="6"/>
  <c r="F1308" i="6"/>
  <c r="A1308" i="6"/>
  <c r="F1307" i="6"/>
  <c r="A1307" i="6"/>
  <c r="F1306" i="6"/>
  <c r="A1306" i="6"/>
  <c r="F1305" i="6"/>
  <c r="A1305" i="6"/>
  <c r="F1304" i="6"/>
  <c r="A1304" i="6"/>
  <c r="F1303" i="6"/>
  <c r="A1303" i="6"/>
  <c r="F1302" i="6"/>
  <c r="A1302" i="6"/>
  <c r="F1301" i="6"/>
  <c r="A1301" i="6"/>
  <c r="F1300" i="6"/>
  <c r="A1300" i="6"/>
  <c r="F1299" i="6"/>
  <c r="A1299" i="6"/>
  <c r="F1298" i="6"/>
  <c r="A1298" i="6"/>
  <c r="F1297" i="6"/>
  <c r="A1297" i="6"/>
  <c r="F1296" i="6"/>
  <c r="A1296" i="6"/>
  <c r="F1295" i="6"/>
  <c r="A1295" i="6"/>
  <c r="F1294" i="6"/>
  <c r="A1294" i="6"/>
  <c r="F1293" i="6"/>
  <c r="A1293" i="6"/>
  <c r="F1292" i="6"/>
  <c r="A1292" i="6"/>
  <c r="F1291" i="6"/>
  <c r="A1291" i="6"/>
  <c r="F1290" i="6"/>
  <c r="A1290" i="6"/>
  <c r="F1289" i="6"/>
  <c r="A1289" i="6"/>
  <c r="F1288" i="6"/>
  <c r="A1288" i="6"/>
  <c r="F1287" i="6"/>
  <c r="A1287" i="6"/>
  <c r="F1286" i="6"/>
  <c r="A1286" i="6"/>
  <c r="F1285" i="6"/>
  <c r="A1285" i="6"/>
  <c r="F1284" i="6"/>
  <c r="A1284" i="6"/>
  <c r="F1283" i="6"/>
  <c r="A1283" i="6"/>
  <c r="F1282" i="6"/>
  <c r="A1282" i="6"/>
  <c r="F1281" i="6"/>
  <c r="A1281" i="6"/>
  <c r="F1280" i="6"/>
  <c r="A1280" i="6"/>
  <c r="F1279" i="6"/>
  <c r="A1279" i="6"/>
  <c r="F1278" i="6"/>
  <c r="A1278" i="6"/>
  <c r="F1277" i="6"/>
  <c r="A1277" i="6"/>
  <c r="F1276" i="6"/>
  <c r="A1276" i="6"/>
  <c r="F1275" i="6"/>
  <c r="A1275" i="6"/>
  <c r="F1274" i="6"/>
  <c r="A1274" i="6"/>
  <c r="F1273" i="6"/>
  <c r="A1273" i="6"/>
  <c r="F1272" i="6"/>
  <c r="A1272" i="6"/>
  <c r="F1271" i="6"/>
  <c r="A1271" i="6"/>
  <c r="F1270" i="6"/>
  <c r="A1270" i="6"/>
  <c r="F1269" i="6"/>
  <c r="A1269" i="6"/>
  <c r="F1268" i="6"/>
  <c r="A1268" i="6"/>
  <c r="F1267" i="6"/>
  <c r="A1267" i="6"/>
  <c r="F1266" i="6"/>
  <c r="A1266" i="6"/>
  <c r="F1265" i="6"/>
  <c r="A1265" i="6"/>
  <c r="F1264" i="6"/>
  <c r="A1264" i="6"/>
  <c r="F1263" i="6"/>
  <c r="A1263" i="6"/>
  <c r="F1262" i="6"/>
  <c r="A1262" i="6"/>
  <c r="F1261" i="6"/>
  <c r="A1261" i="6"/>
  <c r="F1260" i="6"/>
  <c r="A1260" i="6"/>
  <c r="F1259" i="6"/>
  <c r="A1259" i="6"/>
  <c r="F1258" i="6"/>
  <c r="A1258" i="6"/>
  <c r="F1257" i="6"/>
  <c r="A1257" i="6"/>
  <c r="F1256" i="6"/>
  <c r="A1256" i="6"/>
  <c r="F1255" i="6"/>
  <c r="A1255" i="6"/>
  <c r="F1254" i="6"/>
  <c r="A1254" i="6"/>
  <c r="F1253" i="6"/>
  <c r="A1253" i="6"/>
  <c r="F1252" i="6"/>
  <c r="A1252" i="6"/>
  <c r="F1251" i="6"/>
  <c r="A1251" i="6"/>
  <c r="F1250" i="6"/>
  <c r="A1250" i="6"/>
  <c r="F1249" i="6"/>
  <c r="F1248" i="6"/>
  <c r="A1248" i="6"/>
  <c r="F1247" i="6"/>
  <c r="A1247" i="6"/>
  <c r="F1246" i="6"/>
  <c r="A1246" i="6"/>
  <c r="F1245" i="6"/>
  <c r="F1244" i="6"/>
  <c r="F1243" i="6"/>
  <c r="A1243" i="6"/>
  <c r="F1242" i="6"/>
  <c r="A1242" i="6"/>
  <c r="F1241" i="6"/>
  <c r="A1241" i="6"/>
  <c r="F1240" i="6"/>
  <c r="A1240" i="6"/>
  <c r="F1239" i="6"/>
  <c r="A1239" i="6"/>
  <c r="F1238" i="6"/>
  <c r="A1238" i="6"/>
  <c r="F1237" i="6"/>
  <c r="A1237" i="6"/>
  <c r="F1236" i="6"/>
  <c r="A1236" i="6"/>
  <c r="F1235" i="6"/>
  <c r="A1235" i="6"/>
  <c r="F1234" i="6"/>
  <c r="A1234" i="6"/>
  <c r="F1233" i="6"/>
  <c r="A1233" i="6"/>
  <c r="F1232" i="6"/>
  <c r="A1232" i="6"/>
  <c r="F1231" i="6"/>
  <c r="A1231" i="6"/>
  <c r="F1230" i="6"/>
  <c r="A1230" i="6"/>
  <c r="F1229" i="6"/>
  <c r="A1229" i="6"/>
  <c r="F1228" i="6"/>
  <c r="A1228" i="6"/>
  <c r="F1227" i="6"/>
  <c r="A1227" i="6"/>
  <c r="F1226" i="6"/>
  <c r="A1226" i="6"/>
  <c r="F1225" i="6"/>
  <c r="F1224" i="6"/>
  <c r="F1223" i="6"/>
  <c r="A1223" i="6"/>
  <c r="F1222" i="6"/>
  <c r="A1222" i="6"/>
  <c r="F1221" i="6"/>
  <c r="A1221" i="6"/>
  <c r="F1220" i="6"/>
  <c r="A1220" i="6"/>
  <c r="F1219" i="6"/>
  <c r="F1218" i="6"/>
  <c r="A1218" i="6"/>
  <c r="F1217" i="6"/>
  <c r="A1217" i="6"/>
  <c r="F1216" i="6"/>
  <c r="A1216" i="6"/>
  <c r="F1215" i="6"/>
  <c r="A1215" i="6"/>
  <c r="F1214" i="6"/>
  <c r="F1213" i="6"/>
  <c r="F1212" i="6"/>
  <c r="A1212" i="6"/>
  <c r="F1211" i="6"/>
  <c r="A1211" i="6"/>
  <c r="F1210" i="6"/>
  <c r="A1210" i="6"/>
  <c r="F1209" i="6"/>
  <c r="A1209" i="6"/>
  <c r="F1208" i="6"/>
  <c r="F1207" i="6"/>
  <c r="A1207" i="6"/>
  <c r="F1206" i="6"/>
  <c r="A1206" i="6"/>
  <c r="F1205" i="6"/>
  <c r="A1205" i="6"/>
  <c r="F1204" i="6"/>
  <c r="F1203" i="6"/>
  <c r="A1203" i="6"/>
  <c r="F1202" i="6"/>
  <c r="A1202" i="6"/>
  <c r="F1201" i="6"/>
  <c r="A1201" i="6"/>
  <c r="F1200" i="6"/>
  <c r="A1200" i="6"/>
  <c r="F1199" i="6"/>
  <c r="F1198" i="6"/>
  <c r="F1197" i="6"/>
  <c r="F1196" i="6"/>
  <c r="A1196" i="6"/>
  <c r="F1195" i="6"/>
  <c r="A1195" i="6"/>
  <c r="F1194" i="6"/>
  <c r="A1194" i="6"/>
  <c r="F1193" i="6"/>
  <c r="A1193" i="6"/>
  <c r="F1192" i="6"/>
  <c r="F1191" i="6"/>
  <c r="F1190" i="6"/>
  <c r="F1189" i="6"/>
  <c r="F1188" i="6"/>
  <c r="A1188" i="6"/>
  <c r="F1187" i="6"/>
  <c r="A1187" i="6"/>
  <c r="F1186" i="6"/>
  <c r="A1186" i="6"/>
  <c r="F1185" i="6"/>
  <c r="A1185" i="6"/>
  <c r="F1184" i="6"/>
  <c r="A1184" i="6"/>
  <c r="F1183" i="6"/>
  <c r="A1183" i="6"/>
  <c r="F1182" i="6"/>
  <c r="A1182" i="6"/>
  <c r="F1181" i="6"/>
  <c r="A1181" i="6"/>
  <c r="F1180" i="6"/>
  <c r="A1180" i="6"/>
  <c r="F1179" i="6"/>
  <c r="A1179" i="6"/>
  <c r="F1178" i="6"/>
  <c r="A1178" i="6"/>
  <c r="F1177" i="6"/>
  <c r="A1177" i="6"/>
  <c r="F1176" i="6"/>
  <c r="A1176" i="6"/>
  <c r="F1175" i="6"/>
  <c r="A1175" i="6"/>
  <c r="F1174" i="6"/>
  <c r="A1174" i="6"/>
  <c r="F1173" i="6"/>
  <c r="A1173" i="6"/>
  <c r="F1172" i="6"/>
  <c r="A1172" i="6"/>
  <c r="F1171" i="6"/>
  <c r="A1171" i="6"/>
  <c r="F1170" i="6"/>
  <c r="A1170" i="6"/>
  <c r="F1169" i="6"/>
  <c r="A1169" i="6"/>
  <c r="F1168" i="6"/>
  <c r="A1168" i="6"/>
  <c r="F1167" i="6"/>
  <c r="A1167" i="6"/>
  <c r="F1166" i="6"/>
  <c r="A1166" i="6"/>
  <c r="F1165" i="6"/>
  <c r="A1165" i="6"/>
  <c r="F1164" i="6"/>
  <c r="A1164" i="6"/>
  <c r="F1163" i="6"/>
  <c r="A1163" i="6"/>
  <c r="F1162" i="6"/>
  <c r="A1162" i="6"/>
  <c r="F1161" i="6"/>
  <c r="A1161" i="6"/>
  <c r="F1160" i="6"/>
  <c r="A1160" i="6"/>
  <c r="F1159" i="6"/>
  <c r="A1159" i="6"/>
  <c r="F1158" i="6"/>
  <c r="A1158" i="6"/>
  <c r="F1157" i="6"/>
  <c r="A1157" i="6"/>
  <c r="F1156" i="6"/>
  <c r="A1156" i="6"/>
  <c r="F1155" i="6"/>
  <c r="F1154" i="6"/>
  <c r="A1154" i="6"/>
  <c r="F1153" i="6"/>
  <c r="A1153" i="6"/>
  <c r="F1152" i="6"/>
  <c r="F1151" i="6"/>
  <c r="F1150" i="6"/>
  <c r="F1149" i="6"/>
  <c r="A1149" i="6"/>
  <c r="F1148" i="6"/>
  <c r="A1148" i="6"/>
  <c r="F1147" i="6"/>
  <c r="A1147" i="6"/>
  <c r="F1146" i="6"/>
  <c r="A1146" i="6"/>
  <c r="F1145" i="6"/>
  <c r="A1145" i="6"/>
  <c r="F1144" i="6"/>
  <c r="A1144" i="6"/>
  <c r="F1143" i="6"/>
  <c r="A1143" i="6"/>
  <c r="F1142" i="6"/>
  <c r="A1142" i="6"/>
  <c r="F1141" i="6"/>
  <c r="A1141" i="6"/>
  <c r="F1140" i="6"/>
  <c r="A1140" i="6"/>
  <c r="F1139" i="6"/>
  <c r="A1139" i="6"/>
  <c r="F1138" i="6"/>
  <c r="A1138" i="6"/>
  <c r="F1137" i="6"/>
  <c r="A1137" i="6"/>
  <c r="F1136" i="6"/>
  <c r="A1136" i="6"/>
  <c r="F1135" i="6"/>
  <c r="A1135" i="6"/>
  <c r="F1134" i="6"/>
  <c r="F1133" i="6"/>
  <c r="A1133" i="6"/>
  <c r="F1132" i="6"/>
  <c r="A1132" i="6"/>
  <c r="F1131" i="6"/>
  <c r="A1131" i="6"/>
  <c r="F1130" i="6"/>
  <c r="A1130" i="6"/>
  <c r="F1129" i="6"/>
  <c r="A1129" i="6"/>
  <c r="F1128" i="6"/>
  <c r="A1128" i="6"/>
  <c r="F1127" i="6"/>
  <c r="A1127" i="6"/>
  <c r="F1126" i="6"/>
  <c r="A1126" i="6"/>
  <c r="F1125" i="6"/>
  <c r="A1125" i="6"/>
  <c r="F1124" i="6"/>
  <c r="A1124" i="6"/>
  <c r="F1123" i="6"/>
  <c r="A1123" i="6"/>
  <c r="F1122" i="6"/>
  <c r="A1122" i="6"/>
  <c r="F1121" i="6"/>
  <c r="A1121" i="6"/>
  <c r="F1120" i="6"/>
  <c r="A1120" i="6"/>
  <c r="F1119" i="6"/>
  <c r="A1119" i="6"/>
  <c r="F1118" i="6"/>
  <c r="A1118" i="6"/>
  <c r="F1117" i="6"/>
  <c r="A1117" i="6"/>
  <c r="F1116" i="6"/>
  <c r="A1116" i="6"/>
  <c r="F1115" i="6"/>
  <c r="A1115" i="6"/>
  <c r="F1114" i="6"/>
  <c r="A1114" i="6"/>
  <c r="F1113" i="6"/>
  <c r="F1112" i="6"/>
  <c r="A1112" i="6"/>
  <c r="F1111" i="6"/>
  <c r="A1111" i="6"/>
  <c r="F1110" i="6"/>
  <c r="A1110" i="6"/>
  <c r="F1109" i="6"/>
  <c r="A1109" i="6"/>
  <c r="F1108" i="6"/>
  <c r="A1108" i="6"/>
  <c r="F1107" i="6"/>
  <c r="A1107" i="6"/>
  <c r="F1106" i="6"/>
  <c r="A1106" i="6"/>
  <c r="F1105" i="6"/>
  <c r="A1105" i="6"/>
  <c r="F1104" i="6"/>
  <c r="A1104" i="6"/>
  <c r="F1103" i="6"/>
  <c r="A1103" i="6"/>
  <c r="F1102" i="6"/>
  <c r="A1102" i="6"/>
  <c r="F1101" i="6"/>
  <c r="A1101" i="6"/>
  <c r="F1100" i="6"/>
  <c r="A1100" i="6"/>
  <c r="F1099" i="6"/>
  <c r="A1099" i="6"/>
  <c r="F1098" i="6"/>
  <c r="A1098" i="6"/>
  <c r="F1097" i="6"/>
  <c r="A1097" i="6"/>
  <c r="F1096" i="6"/>
  <c r="A1096" i="6"/>
  <c r="F1095" i="6"/>
  <c r="A1095" i="6"/>
  <c r="F1094" i="6"/>
  <c r="A1094" i="6"/>
  <c r="F1093" i="6"/>
  <c r="A1093" i="6"/>
  <c r="F1092" i="6"/>
  <c r="A1092" i="6"/>
  <c r="F1091" i="6"/>
  <c r="A1091" i="6"/>
  <c r="F1090" i="6"/>
  <c r="F1089" i="6"/>
  <c r="A1089" i="6"/>
  <c r="F1088" i="6"/>
  <c r="A1088" i="6"/>
  <c r="F1087" i="6"/>
  <c r="A1087" i="6"/>
  <c r="F1086" i="6"/>
  <c r="A1086" i="6"/>
  <c r="F1085" i="6"/>
  <c r="A1085" i="6"/>
  <c r="F1084" i="6"/>
  <c r="A1084" i="6"/>
  <c r="F1083" i="6"/>
  <c r="A1083" i="6"/>
  <c r="F1082" i="6"/>
  <c r="A1082" i="6"/>
  <c r="F1081" i="6"/>
  <c r="A1081" i="6"/>
  <c r="F1080" i="6"/>
  <c r="A1080" i="6"/>
  <c r="F1079" i="6"/>
  <c r="A1079" i="6"/>
  <c r="F1078" i="6"/>
  <c r="A1078" i="6"/>
  <c r="F1077" i="6"/>
  <c r="A1077" i="6"/>
  <c r="F1076" i="6"/>
  <c r="A1076" i="6"/>
  <c r="F1075" i="6"/>
  <c r="A1075" i="6"/>
  <c r="F1074" i="6"/>
  <c r="A1074" i="6"/>
  <c r="F1073" i="6"/>
  <c r="A1073" i="6"/>
  <c r="F1072" i="6"/>
  <c r="A1072" i="6"/>
  <c r="F1071" i="6"/>
  <c r="A1071" i="6"/>
  <c r="F1070" i="6"/>
  <c r="A1070" i="6"/>
  <c r="F1069" i="6"/>
  <c r="A1069" i="6"/>
  <c r="F1068" i="6"/>
  <c r="F1067" i="6"/>
  <c r="F1066" i="6"/>
  <c r="F1065" i="6"/>
  <c r="A1065" i="6"/>
  <c r="F1064" i="6"/>
  <c r="F1063" i="6"/>
  <c r="A1063" i="6"/>
  <c r="F1062" i="6"/>
  <c r="A1062" i="6"/>
  <c r="F1061" i="6"/>
  <c r="A1061" i="6"/>
  <c r="F1060" i="6"/>
  <c r="A1060" i="6"/>
  <c r="F1059" i="6"/>
  <c r="A1059" i="6"/>
  <c r="F1058" i="6"/>
  <c r="A1058" i="6"/>
  <c r="F1057" i="6"/>
  <c r="A1057" i="6"/>
  <c r="F1056" i="6"/>
  <c r="A1056" i="6"/>
  <c r="F1055" i="6"/>
  <c r="A1055" i="6"/>
  <c r="F1054" i="6"/>
  <c r="A1054" i="6"/>
  <c r="F1053" i="6"/>
  <c r="A1053" i="6"/>
  <c r="F1052" i="6"/>
  <c r="F1051" i="6"/>
  <c r="F1050" i="6"/>
  <c r="A1050" i="6"/>
  <c r="F1049" i="6"/>
  <c r="A1049" i="6"/>
  <c r="F1048" i="6"/>
  <c r="F1047" i="6"/>
  <c r="F1046" i="6"/>
  <c r="A1046" i="6"/>
  <c r="F1045" i="6"/>
  <c r="A1045" i="6"/>
  <c r="F1044" i="6"/>
  <c r="A1044" i="6"/>
  <c r="F1043" i="6"/>
  <c r="A1043" i="6"/>
  <c r="F1042" i="6"/>
  <c r="F1041" i="6"/>
  <c r="F1040" i="6"/>
  <c r="A1040" i="6"/>
  <c r="F1039" i="6"/>
  <c r="A1039" i="6"/>
  <c r="F1038" i="6"/>
  <c r="A1038" i="6"/>
  <c r="F1037" i="6"/>
  <c r="A1037" i="6"/>
  <c r="F1036" i="6"/>
  <c r="A1036" i="6"/>
  <c r="F1035" i="6"/>
  <c r="A1035" i="6"/>
  <c r="F1034" i="6"/>
  <c r="A1034" i="6"/>
  <c r="F1033" i="6"/>
  <c r="A1033" i="6"/>
  <c r="F1032" i="6"/>
  <c r="A1032" i="6"/>
  <c r="F1031" i="6"/>
  <c r="A1031" i="6"/>
  <c r="F1030" i="6"/>
  <c r="A1030" i="6"/>
  <c r="F1029" i="6"/>
  <c r="A1029" i="6"/>
  <c r="F1028" i="6"/>
  <c r="A1028" i="6"/>
  <c r="F1027" i="6"/>
  <c r="F1026" i="6"/>
  <c r="F1025" i="6"/>
  <c r="A1025" i="6"/>
  <c r="F1024" i="6"/>
  <c r="A1024" i="6"/>
  <c r="F1023" i="6"/>
  <c r="A1023" i="6"/>
  <c r="F1022" i="6"/>
  <c r="A1022" i="6"/>
  <c r="F1021" i="6"/>
  <c r="F1020" i="6"/>
  <c r="F1019" i="6"/>
  <c r="F1018" i="6"/>
  <c r="F1017" i="6"/>
  <c r="F1016" i="6"/>
  <c r="F1015" i="6"/>
  <c r="A1015" i="6"/>
  <c r="F1014" i="6"/>
  <c r="F1013" i="6"/>
  <c r="F1012" i="6"/>
  <c r="F1011" i="6"/>
  <c r="F1010" i="6"/>
  <c r="A1010" i="6"/>
  <c r="F1009" i="6"/>
  <c r="A1009" i="6"/>
  <c r="F1008" i="6"/>
  <c r="A1008" i="6"/>
  <c r="F1007" i="6"/>
  <c r="A1007" i="6"/>
  <c r="F1006" i="6"/>
  <c r="A1006" i="6"/>
  <c r="F1005" i="6"/>
  <c r="A1005" i="6"/>
  <c r="F1004" i="6"/>
  <c r="A1004" i="6"/>
  <c r="F1003" i="6"/>
  <c r="A1003" i="6"/>
  <c r="F1002" i="6"/>
  <c r="A1002" i="6"/>
  <c r="F1001" i="6"/>
  <c r="A1001" i="6"/>
  <c r="F1000" i="6"/>
  <c r="A1000" i="6"/>
  <c r="F999" i="6"/>
  <c r="A999" i="6"/>
  <c r="F998" i="6"/>
  <c r="A998" i="6"/>
  <c r="F997" i="6"/>
  <c r="A997" i="6"/>
  <c r="F996" i="6"/>
  <c r="A996" i="6"/>
  <c r="F995" i="6"/>
  <c r="A995" i="6"/>
  <c r="F994" i="6"/>
  <c r="A994" i="6"/>
  <c r="F993" i="6"/>
  <c r="A993" i="6"/>
  <c r="F992" i="6"/>
  <c r="A992" i="6"/>
  <c r="F991" i="6"/>
  <c r="F990" i="6"/>
  <c r="A990" i="6"/>
  <c r="F989" i="6"/>
  <c r="A989" i="6"/>
  <c r="F988" i="6"/>
  <c r="A988" i="6"/>
  <c r="F987" i="6"/>
  <c r="A987" i="6"/>
  <c r="F986" i="6"/>
  <c r="F985" i="6"/>
  <c r="A985" i="6"/>
  <c r="F984" i="6"/>
  <c r="A984" i="6"/>
  <c r="F983" i="6"/>
  <c r="A983" i="6"/>
  <c r="F982" i="6"/>
  <c r="A982" i="6"/>
  <c r="F981" i="6"/>
  <c r="F980" i="6"/>
  <c r="A980" i="6"/>
  <c r="F979" i="6"/>
  <c r="A979" i="6"/>
  <c r="F978" i="6"/>
  <c r="A978" i="6"/>
  <c r="F977" i="6"/>
  <c r="A977" i="6"/>
  <c r="F976" i="6"/>
  <c r="A976" i="6"/>
  <c r="F975" i="6"/>
  <c r="F974" i="6"/>
  <c r="F973" i="6"/>
  <c r="F972" i="6"/>
  <c r="F971" i="6"/>
  <c r="F970" i="6"/>
  <c r="F969" i="6"/>
  <c r="A969" i="6"/>
  <c r="F968" i="6"/>
  <c r="F967" i="6"/>
  <c r="A967" i="6"/>
  <c r="F966" i="6"/>
  <c r="A966" i="6"/>
  <c r="F965" i="6"/>
  <c r="A965" i="6"/>
  <c r="F964" i="6"/>
  <c r="A964" i="6"/>
  <c r="F963" i="6"/>
  <c r="A963" i="6"/>
  <c r="F962" i="6"/>
  <c r="A962" i="6"/>
  <c r="F961" i="6"/>
  <c r="A961" i="6"/>
  <c r="F960" i="6"/>
  <c r="A960" i="6"/>
  <c r="F959" i="6"/>
  <c r="A959" i="6"/>
  <c r="F958" i="6"/>
  <c r="A958" i="6"/>
  <c r="F957" i="6"/>
  <c r="A957" i="6"/>
  <c r="F956" i="6"/>
  <c r="A956" i="6"/>
  <c r="F955" i="6"/>
  <c r="A955" i="6"/>
  <c r="F954" i="6"/>
  <c r="A954" i="6"/>
  <c r="F953" i="6"/>
  <c r="A953" i="6"/>
  <c r="F952" i="6"/>
  <c r="A952" i="6"/>
  <c r="F951" i="6"/>
  <c r="A951" i="6"/>
  <c r="F950" i="6"/>
  <c r="A950" i="6"/>
  <c r="F949" i="6"/>
  <c r="A949" i="6"/>
  <c r="F948" i="6"/>
  <c r="A948" i="6"/>
  <c r="F947" i="6"/>
  <c r="A947" i="6"/>
  <c r="F946" i="6"/>
  <c r="F945" i="6"/>
  <c r="F944" i="6"/>
  <c r="F943" i="6"/>
  <c r="F942" i="6"/>
  <c r="F941" i="6"/>
  <c r="F940" i="6"/>
  <c r="F939" i="6"/>
  <c r="F938" i="6"/>
  <c r="F937" i="6"/>
  <c r="F936" i="6"/>
  <c r="F935" i="6"/>
  <c r="F934" i="6"/>
  <c r="F933" i="6"/>
  <c r="F932" i="6"/>
  <c r="F931" i="6"/>
  <c r="F930" i="6"/>
  <c r="F929" i="6"/>
  <c r="F928" i="6"/>
  <c r="F927" i="6"/>
  <c r="F926" i="6"/>
  <c r="F925" i="6"/>
  <c r="F924" i="6"/>
  <c r="F923" i="6"/>
  <c r="F922" i="6"/>
  <c r="F921" i="6"/>
  <c r="F920" i="6"/>
  <c r="F919" i="6"/>
  <c r="F918" i="6"/>
  <c r="F917" i="6"/>
  <c r="F916" i="6"/>
  <c r="A916" i="6"/>
  <c r="F915" i="6"/>
  <c r="A915" i="6"/>
  <c r="F914" i="6"/>
  <c r="A914" i="6"/>
  <c r="F913" i="6"/>
  <c r="A913" i="6"/>
  <c r="F912" i="6"/>
  <c r="A912" i="6"/>
  <c r="F911" i="6"/>
  <c r="A911" i="6"/>
  <c r="F910" i="6"/>
  <c r="A910" i="6"/>
  <c r="F909" i="6"/>
  <c r="A909" i="6"/>
  <c r="F908" i="6"/>
  <c r="F907" i="6"/>
  <c r="F906" i="6"/>
  <c r="A906" i="6"/>
  <c r="F905" i="6"/>
  <c r="A905" i="6"/>
  <c r="F904" i="6"/>
  <c r="F903" i="6"/>
  <c r="A903" i="6"/>
  <c r="F902" i="6"/>
  <c r="A902" i="6"/>
  <c r="F901" i="6"/>
  <c r="A901" i="6"/>
  <c r="F900" i="6"/>
  <c r="A900" i="6"/>
  <c r="F899" i="6"/>
  <c r="A899" i="6"/>
  <c r="F898" i="6"/>
  <c r="A898" i="6"/>
  <c r="F897" i="6"/>
  <c r="A897" i="6"/>
  <c r="F896" i="6"/>
  <c r="A896" i="6"/>
  <c r="F895" i="6"/>
  <c r="A895" i="6"/>
  <c r="F894" i="6"/>
  <c r="A894" i="6"/>
  <c r="F893" i="6"/>
  <c r="A893" i="6"/>
  <c r="F892" i="6"/>
  <c r="A892" i="6"/>
  <c r="F891" i="6"/>
  <c r="A891" i="6"/>
  <c r="F890" i="6"/>
  <c r="A890" i="6"/>
  <c r="F889" i="6"/>
  <c r="A889" i="6"/>
  <c r="F888" i="6"/>
  <c r="A888" i="6"/>
  <c r="F887" i="6"/>
  <c r="A887" i="6"/>
  <c r="F886" i="6"/>
  <c r="A886" i="6"/>
  <c r="F885" i="6"/>
  <c r="A885" i="6"/>
  <c r="F884" i="6"/>
  <c r="A884" i="6"/>
  <c r="F883" i="6"/>
  <c r="F882" i="6"/>
  <c r="A882" i="6"/>
  <c r="F881" i="6"/>
  <c r="A881" i="6"/>
  <c r="F880" i="6"/>
  <c r="F879" i="6"/>
  <c r="F878" i="6"/>
  <c r="A878" i="6"/>
  <c r="F877" i="6"/>
  <c r="A877" i="6"/>
  <c r="F876" i="6"/>
  <c r="A876" i="6"/>
  <c r="F875" i="6"/>
  <c r="A875" i="6"/>
  <c r="F874" i="6"/>
  <c r="A874" i="6"/>
  <c r="F873" i="6"/>
  <c r="A873" i="6"/>
  <c r="F872" i="6"/>
  <c r="A872" i="6"/>
  <c r="F871" i="6"/>
  <c r="A871" i="6"/>
  <c r="F870" i="6"/>
  <c r="A870" i="6"/>
  <c r="F869" i="6"/>
  <c r="A869" i="6"/>
  <c r="F868" i="6"/>
  <c r="A868" i="6"/>
  <c r="F867" i="6"/>
  <c r="A867" i="6"/>
  <c r="F866" i="6"/>
  <c r="A866" i="6"/>
  <c r="F865" i="6"/>
  <c r="A865" i="6"/>
  <c r="F864" i="6"/>
  <c r="A864" i="6"/>
  <c r="F863" i="6"/>
  <c r="A863" i="6"/>
  <c r="F862" i="6"/>
  <c r="A862" i="6"/>
  <c r="F861" i="6"/>
  <c r="A861" i="6"/>
  <c r="F860" i="6"/>
  <c r="A860" i="6"/>
  <c r="F859" i="6"/>
  <c r="A859" i="6"/>
  <c r="F858" i="6"/>
  <c r="A858" i="6"/>
  <c r="F857" i="6"/>
  <c r="A857" i="6"/>
  <c r="F856" i="6"/>
  <c r="A856" i="6"/>
  <c r="F855" i="6"/>
  <c r="A855" i="6"/>
  <c r="F854" i="6"/>
  <c r="A854" i="6"/>
  <c r="F853" i="6"/>
  <c r="A853" i="6"/>
  <c r="F852" i="6"/>
  <c r="A852" i="6"/>
  <c r="F851" i="6"/>
  <c r="F850" i="6"/>
  <c r="A850" i="6"/>
  <c r="F849" i="6"/>
  <c r="A849" i="6"/>
  <c r="F848" i="6"/>
  <c r="A848" i="6"/>
  <c r="F847" i="6"/>
  <c r="A847" i="6"/>
  <c r="F846" i="6"/>
  <c r="A846" i="6"/>
  <c r="F845" i="6"/>
  <c r="A845" i="6"/>
  <c r="F844" i="6"/>
  <c r="A844" i="6"/>
  <c r="F843" i="6"/>
  <c r="A843" i="6"/>
  <c r="F842" i="6"/>
  <c r="A842" i="6"/>
  <c r="F841" i="6"/>
  <c r="A841" i="6"/>
  <c r="F840" i="6"/>
  <c r="A840" i="6"/>
  <c r="F839" i="6"/>
  <c r="A839" i="6"/>
  <c r="F838" i="6"/>
  <c r="A838" i="6"/>
  <c r="F837" i="6"/>
  <c r="A837" i="6"/>
  <c r="F836" i="6"/>
  <c r="A836" i="6"/>
  <c r="F835" i="6"/>
  <c r="A835" i="6"/>
  <c r="F834" i="6"/>
  <c r="A834" i="6"/>
  <c r="F833" i="6"/>
  <c r="A833" i="6"/>
  <c r="F832" i="6"/>
  <c r="A832" i="6"/>
  <c r="F831" i="6"/>
  <c r="A831" i="6"/>
  <c r="F830" i="6"/>
  <c r="A830" i="6"/>
  <c r="F829" i="6"/>
  <c r="A829" i="6"/>
  <c r="F828" i="6"/>
  <c r="A828" i="6"/>
  <c r="F827" i="6"/>
  <c r="A827" i="6"/>
  <c r="F826" i="6"/>
  <c r="F825" i="6"/>
  <c r="A825" i="6"/>
  <c r="F824" i="6"/>
  <c r="A824" i="6"/>
  <c r="F823" i="6"/>
  <c r="A823" i="6"/>
  <c r="F822" i="6"/>
  <c r="A822" i="6"/>
  <c r="F821" i="6"/>
  <c r="A821" i="6"/>
  <c r="F820" i="6"/>
  <c r="A820" i="6"/>
  <c r="F819" i="6"/>
  <c r="A819" i="6"/>
  <c r="F818" i="6"/>
  <c r="A818" i="6"/>
  <c r="F817" i="6"/>
  <c r="A817" i="6"/>
  <c r="F816" i="6"/>
  <c r="A816" i="6"/>
  <c r="F815" i="6"/>
  <c r="A815" i="6"/>
  <c r="F814" i="6"/>
  <c r="A814" i="6"/>
  <c r="F813" i="6"/>
  <c r="A813" i="6"/>
  <c r="F812" i="6"/>
  <c r="A812" i="6"/>
  <c r="F811" i="6"/>
  <c r="A811" i="6"/>
  <c r="F810" i="6"/>
  <c r="A810" i="6"/>
  <c r="F809" i="6"/>
  <c r="A809" i="6"/>
  <c r="F808" i="6"/>
  <c r="A808" i="6"/>
  <c r="F807" i="6"/>
  <c r="A807" i="6"/>
  <c r="F806" i="6"/>
  <c r="A806" i="6"/>
  <c r="F805" i="6"/>
  <c r="A805" i="6"/>
  <c r="F804" i="6"/>
  <c r="A804" i="6"/>
  <c r="F803" i="6"/>
  <c r="A803" i="6"/>
  <c r="F802" i="6"/>
  <c r="A802" i="6"/>
  <c r="F801" i="6"/>
  <c r="F800" i="6"/>
  <c r="A800" i="6"/>
  <c r="F799" i="6"/>
  <c r="A799" i="6"/>
  <c r="F798" i="6"/>
  <c r="A798" i="6"/>
  <c r="F797" i="6"/>
  <c r="A797" i="6"/>
  <c r="F796" i="6"/>
  <c r="A796" i="6"/>
  <c r="F795" i="6"/>
  <c r="A795" i="6"/>
  <c r="F794" i="6"/>
  <c r="A794" i="6"/>
  <c r="F793" i="6"/>
  <c r="A793" i="6"/>
  <c r="F792" i="6"/>
  <c r="A792" i="6"/>
  <c r="F791" i="6"/>
  <c r="A791" i="6"/>
  <c r="F790" i="6"/>
  <c r="A790" i="6"/>
  <c r="F789" i="6"/>
  <c r="A789" i="6"/>
  <c r="F788" i="6"/>
  <c r="A788" i="6"/>
  <c r="F787" i="6"/>
  <c r="A787" i="6"/>
  <c r="F786" i="6"/>
  <c r="A786" i="6"/>
  <c r="F785" i="6"/>
  <c r="A785" i="6"/>
  <c r="F784" i="6"/>
  <c r="A784" i="6"/>
  <c r="F783" i="6"/>
  <c r="A783" i="6"/>
  <c r="F782" i="6"/>
  <c r="A782" i="6"/>
  <c r="F781" i="6"/>
  <c r="A781" i="6"/>
  <c r="F780" i="6"/>
  <c r="A780" i="6"/>
  <c r="F779" i="6"/>
  <c r="A779" i="6"/>
  <c r="F778" i="6"/>
  <c r="A778" i="6"/>
  <c r="F777" i="6"/>
  <c r="A777" i="6"/>
  <c r="F776" i="6"/>
  <c r="A776" i="6"/>
  <c r="F775" i="6"/>
  <c r="F774" i="6"/>
  <c r="A774" i="6"/>
  <c r="F773" i="6"/>
  <c r="A773" i="6"/>
  <c r="F772" i="6"/>
  <c r="A772" i="6"/>
  <c r="F771" i="6"/>
  <c r="A771" i="6"/>
  <c r="F770" i="6"/>
  <c r="A770" i="6"/>
  <c r="F769" i="6"/>
  <c r="A769" i="6"/>
  <c r="F768" i="6"/>
  <c r="A768" i="6"/>
  <c r="F767" i="6"/>
  <c r="A767" i="6"/>
  <c r="F766" i="6"/>
  <c r="A766" i="6"/>
  <c r="F765" i="6"/>
  <c r="A765" i="6"/>
  <c r="F764" i="6"/>
  <c r="A764" i="6"/>
  <c r="F763" i="6"/>
  <c r="A763" i="6"/>
  <c r="F762" i="6"/>
  <c r="A762" i="6"/>
  <c r="F761" i="6"/>
  <c r="A761" i="6"/>
  <c r="F760" i="6"/>
  <c r="A760" i="6"/>
  <c r="F759" i="6"/>
  <c r="A759" i="6"/>
  <c r="F758" i="6"/>
  <c r="A758" i="6"/>
  <c r="F757" i="6"/>
  <c r="A757" i="6"/>
  <c r="F756" i="6"/>
  <c r="A756" i="6"/>
  <c r="F755" i="6"/>
  <c r="A755" i="6"/>
  <c r="F754" i="6"/>
  <c r="A754" i="6"/>
  <c r="F753" i="6"/>
  <c r="A753" i="6"/>
  <c r="F752" i="6"/>
  <c r="A752" i="6"/>
  <c r="F751" i="6"/>
  <c r="A751" i="6"/>
  <c r="F750" i="6"/>
  <c r="A750" i="6"/>
  <c r="F749" i="6"/>
  <c r="A749" i="6"/>
  <c r="F748" i="6"/>
  <c r="F747" i="6"/>
  <c r="A747" i="6"/>
  <c r="F746" i="6"/>
  <c r="A746" i="6"/>
  <c r="F745" i="6"/>
  <c r="A745" i="6"/>
  <c r="F744" i="6"/>
  <c r="A744" i="6"/>
  <c r="F743" i="6"/>
  <c r="A743" i="6"/>
  <c r="F742" i="6"/>
  <c r="A742" i="6"/>
  <c r="F741" i="6"/>
  <c r="A741" i="6"/>
  <c r="F740" i="6"/>
  <c r="A740" i="6"/>
  <c r="F739" i="6"/>
  <c r="A739" i="6"/>
  <c r="F738" i="6"/>
  <c r="A738" i="6"/>
  <c r="F737" i="6"/>
  <c r="A737" i="6"/>
  <c r="F736" i="6"/>
  <c r="A736" i="6"/>
  <c r="F735" i="6"/>
  <c r="A735" i="6"/>
  <c r="F734" i="6"/>
  <c r="A734" i="6"/>
  <c r="F733" i="6"/>
  <c r="A733" i="6"/>
  <c r="F732" i="6"/>
  <c r="A732" i="6"/>
  <c r="F731" i="6"/>
  <c r="A731" i="6"/>
  <c r="F730" i="6"/>
  <c r="A730" i="6"/>
  <c r="F729" i="6"/>
  <c r="A729" i="6"/>
  <c r="F728" i="6"/>
  <c r="A728" i="6"/>
  <c r="F727" i="6"/>
  <c r="A727" i="6"/>
  <c r="F726" i="6"/>
  <c r="A726" i="6"/>
  <c r="F725" i="6"/>
  <c r="A725" i="6"/>
  <c r="F724" i="6"/>
  <c r="A724" i="6"/>
  <c r="F723" i="6"/>
  <c r="A723" i="6"/>
  <c r="F722" i="6"/>
  <c r="A722" i="6"/>
  <c r="F721" i="6"/>
  <c r="A721" i="6"/>
  <c r="F720" i="6"/>
  <c r="A720" i="6"/>
  <c r="F719" i="6"/>
  <c r="A719" i="6"/>
  <c r="F718" i="6"/>
  <c r="A718" i="6"/>
  <c r="F717" i="6"/>
  <c r="A717" i="6"/>
  <c r="F716" i="6"/>
  <c r="A716" i="6"/>
  <c r="F715" i="6"/>
  <c r="A715" i="6"/>
  <c r="F714" i="6"/>
  <c r="A714" i="6"/>
  <c r="F713" i="6"/>
  <c r="A713" i="6"/>
  <c r="F712" i="6"/>
  <c r="A712" i="6"/>
  <c r="F711" i="6"/>
  <c r="A711" i="6"/>
  <c r="F710" i="6"/>
  <c r="A710" i="6"/>
  <c r="F709" i="6"/>
  <c r="A709" i="6"/>
  <c r="F708" i="6"/>
  <c r="A708" i="6"/>
  <c r="F707" i="6"/>
  <c r="A707" i="6"/>
  <c r="F706" i="6"/>
  <c r="A706" i="6"/>
  <c r="F705" i="6"/>
  <c r="A705" i="6"/>
  <c r="F704" i="6"/>
  <c r="A704" i="6"/>
  <c r="F703" i="6"/>
  <c r="A703" i="6"/>
  <c r="F702" i="6"/>
  <c r="A702" i="6"/>
  <c r="F701" i="6"/>
  <c r="A701" i="6"/>
  <c r="F700" i="6"/>
  <c r="A700" i="6"/>
  <c r="F699" i="6"/>
  <c r="A699" i="6"/>
  <c r="F698" i="6"/>
  <c r="A698" i="6"/>
  <c r="F697" i="6"/>
  <c r="A697" i="6"/>
  <c r="F696" i="6"/>
  <c r="A696" i="6"/>
  <c r="F695" i="6"/>
  <c r="A695" i="6"/>
  <c r="F694" i="6"/>
  <c r="A694" i="6"/>
  <c r="F693" i="6"/>
  <c r="A693" i="6"/>
  <c r="F692" i="6"/>
  <c r="F691" i="6"/>
  <c r="F690" i="6"/>
  <c r="A690" i="6"/>
  <c r="F689" i="6"/>
  <c r="A689" i="6"/>
  <c r="F688" i="6"/>
  <c r="A688" i="6"/>
  <c r="F687" i="6"/>
  <c r="A687" i="6"/>
  <c r="F686" i="6"/>
  <c r="F685" i="6"/>
  <c r="F684" i="6"/>
  <c r="F683" i="6"/>
  <c r="F682" i="6"/>
  <c r="F681" i="6"/>
  <c r="F680" i="6"/>
  <c r="F679" i="6"/>
  <c r="F678" i="6"/>
  <c r="F677" i="6"/>
  <c r="F676" i="6"/>
  <c r="F675" i="6"/>
  <c r="F674" i="6"/>
  <c r="A674" i="6"/>
  <c r="F673" i="6"/>
  <c r="A673" i="6"/>
  <c r="F672" i="6"/>
  <c r="A672" i="6"/>
  <c r="F671" i="6"/>
  <c r="A671" i="6"/>
  <c r="F670" i="6"/>
  <c r="A670" i="6"/>
  <c r="F669" i="6"/>
  <c r="A669" i="6"/>
  <c r="F668" i="6"/>
  <c r="A668" i="6"/>
  <c r="F667" i="6"/>
  <c r="A667" i="6"/>
  <c r="F666" i="6"/>
  <c r="A666" i="6"/>
  <c r="F665" i="6"/>
  <c r="A665" i="6"/>
  <c r="F664" i="6"/>
  <c r="A664" i="6"/>
  <c r="F663" i="6"/>
  <c r="A663" i="6"/>
  <c r="F662" i="6"/>
  <c r="A662" i="6"/>
  <c r="F661" i="6"/>
  <c r="F660" i="6"/>
  <c r="A660" i="6"/>
  <c r="F659" i="6"/>
  <c r="A659" i="6"/>
  <c r="F658" i="6"/>
  <c r="F657" i="6"/>
  <c r="A657" i="6"/>
  <c r="F656" i="6"/>
  <c r="A656" i="6"/>
  <c r="F655" i="6"/>
  <c r="A655" i="6"/>
  <c r="F654" i="6"/>
  <c r="A654" i="6"/>
  <c r="F653" i="6"/>
  <c r="A653" i="6"/>
  <c r="F652" i="6"/>
  <c r="A652" i="6"/>
  <c r="F651" i="6"/>
  <c r="A651" i="6"/>
  <c r="F650" i="6"/>
  <c r="A650" i="6"/>
  <c r="F649" i="6"/>
  <c r="F648" i="6"/>
  <c r="F647" i="6"/>
  <c r="A647" i="6"/>
  <c r="F646" i="6"/>
  <c r="A646" i="6"/>
  <c r="F645" i="6"/>
  <c r="A645" i="6"/>
  <c r="F644" i="6"/>
  <c r="A644" i="6"/>
  <c r="F643" i="6"/>
  <c r="A643" i="6"/>
  <c r="F642" i="6"/>
  <c r="A642" i="6"/>
  <c r="F641" i="6"/>
  <c r="A641" i="6"/>
  <c r="F640" i="6"/>
  <c r="A640" i="6"/>
  <c r="F639" i="6"/>
  <c r="A639" i="6"/>
  <c r="F638" i="6"/>
  <c r="A638" i="6"/>
  <c r="F637" i="6"/>
  <c r="A637" i="6"/>
  <c r="F636" i="6"/>
  <c r="A636" i="6"/>
  <c r="F635" i="6"/>
  <c r="A635" i="6"/>
  <c r="F634" i="6"/>
  <c r="A634" i="6"/>
  <c r="F633" i="6"/>
  <c r="A633" i="6"/>
  <c r="F632" i="6"/>
  <c r="A632" i="6"/>
  <c r="F631" i="6"/>
  <c r="A631" i="6"/>
  <c r="F630" i="6"/>
  <c r="A630" i="6"/>
  <c r="F629" i="6"/>
  <c r="A629" i="6"/>
  <c r="F628" i="6"/>
  <c r="A628" i="6"/>
  <c r="F627" i="6"/>
  <c r="A627" i="6"/>
  <c r="F626" i="6"/>
  <c r="A626" i="6"/>
  <c r="F625" i="6"/>
  <c r="A625" i="6"/>
  <c r="F624" i="6"/>
  <c r="A624" i="6"/>
  <c r="F623" i="6"/>
  <c r="A623" i="6"/>
  <c r="F622" i="6"/>
  <c r="A622" i="6"/>
  <c r="F621" i="6"/>
  <c r="A621" i="6"/>
  <c r="F620" i="6"/>
  <c r="F619" i="6"/>
  <c r="F618" i="6"/>
  <c r="F617" i="6"/>
  <c r="F616" i="6"/>
  <c r="A616" i="6"/>
  <c r="F615" i="6"/>
  <c r="A615" i="6"/>
  <c r="F614" i="6"/>
  <c r="A614" i="6"/>
  <c r="F613" i="6"/>
  <c r="A613" i="6"/>
  <c r="F612" i="6"/>
  <c r="A612" i="6"/>
  <c r="F611" i="6"/>
  <c r="A611" i="6"/>
  <c r="F610" i="6"/>
  <c r="A610" i="6"/>
  <c r="F609" i="6"/>
  <c r="A609" i="6"/>
  <c r="F608" i="6"/>
  <c r="A608" i="6"/>
  <c r="F607" i="6"/>
  <c r="A607" i="6"/>
  <c r="F606" i="6"/>
  <c r="F605" i="6"/>
  <c r="A605" i="6"/>
  <c r="F604" i="6"/>
  <c r="A604" i="6"/>
  <c r="F603" i="6"/>
  <c r="A603" i="6"/>
  <c r="F602" i="6"/>
  <c r="A602" i="6"/>
  <c r="F601" i="6"/>
  <c r="A601" i="6"/>
  <c r="F600" i="6"/>
  <c r="A600" i="6"/>
  <c r="F599" i="6"/>
  <c r="A599" i="6"/>
  <c r="F598" i="6"/>
  <c r="A598" i="6"/>
  <c r="F597" i="6"/>
  <c r="A597" i="6"/>
  <c r="F596" i="6"/>
  <c r="A596" i="6"/>
  <c r="F595" i="6"/>
  <c r="A595" i="6"/>
  <c r="F594" i="6"/>
  <c r="A594" i="6"/>
  <c r="F593" i="6"/>
  <c r="A593" i="6"/>
  <c r="F592" i="6"/>
  <c r="A592" i="6"/>
  <c r="F591" i="6"/>
  <c r="A591" i="6"/>
  <c r="F590" i="6"/>
  <c r="A590" i="6"/>
  <c r="F589" i="6"/>
  <c r="A589" i="6"/>
  <c r="F588" i="6"/>
  <c r="A588" i="6"/>
  <c r="F587" i="6"/>
  <c r="A587" i="6"/>
  <c r="F586" i="6"/>
  <c r="A586" i="6"/>
  <c r="F585" i="6"/>
  <c r="A585" i="6"/>
  <c r="F584" i="6"/>
  <c r="A584" i="6"/>
  <c r="F583" i="6"/>
  <c r="A583" i="6"/>
  <c r="F582" i="6"/>
  <c r="A582" i="6"/>
  <c r="F581" i="6"/>
  <c r="A581" i="6"/>
  <c r="F580" i="6"/>
  <c r="A580" i="6"/>
  <c r="F579" i="6"/>
  <c r="A579" i="6"/>
  <c r="F578" i="6"/>
  <c r="A578" i="6"/>
  <c r="F577" i="6"/>
  <c r="A577" i="6"/>
  <c r="F576" i="6"/>
  <c r="A576" i="6"/>
  <c r="F575" i="6"/>
  <c r="A575" i="6"/>
  <c r="F574" i="6"/>
  <c r="A574" i="6"/>
  <c r="F573" i="6"/>
  <c r="A573" i="6"/>
  <c r="F572" i="6"/>
  <c r="A572" i="6"/>
  <c r="F571" i="6"/>
  <c r="A571" i="6"/>
  <c r="F570" i="6"/>
  <c r="A570" i="6"/>
  <c r="F569" i="6"/>
  <c r="A569" i="6"/>
  <c r="F568" i="6"/>
  <c r="A568" i="6"/>
  <c r="F567" i="6"/>
  <c r="A567" i="6"/>
  <c r="F566" i="6"/>
  <c r="A566" i="6"/>
  <c r="F565" i="6"/>
  <c r="A565" i="6"/>
  <c r="F564" i="6"/>
  <c r="A564" i="6"/>
  <c r="F563" i="6"/>
  <c r="A563" i="6"/>
  <c r="F562" i="6"/>
  <c r="A562" i="6"/>
  <c r="F561" i="6"/>
  <c r="A561" i="6"/>
  <c r="F560" i="6"/>
  <c r="A560" i="6"/>
  <c r="F559" i="6"/>
  <c r="A559" i="6"/>
  <c r="F558" i="6"/>
  <c r="A558" i="6"/>
  <c r="F557" i="6"/>
  <c r="A557" i="6"/>
  <c r="F556" i="6"/>
  <c r="A556" i="6"/>
  <c r="F555" i="6"/>
  <c r="A555" i="6"/>
  <c r="F554" i="6"/>
  <c r="A554" i="6"/>
  <c r="F553" i="6"/>
  <c r="A553" i="6"/>
  <c r="F552" i="6"/>
  <c r="A552" i="6"/>
  <c r="F551" i="6"/>
  <c r="A551" i="6"/>
  <c r="F550" i="6"/>
  <c r="A550" i="6"/>
  <c r="F549" i="6"/>
  <c r="A549" i="6"/>
  <c r="F548" i="6"/>
  <c r="A548" i="6"/>
  <c r="F547" i="6"/>
  <c r="A547" i="6"/>
  <c r="F546" i="6"/>
  <c r="A546" i="6"/>
  <c r="F545" i="6"/>
  <c r="A545" i="6"/>
  <c r="F544" i="6"/>
  <c r="A544" i="6"/>
  <c r="F543" i="6"/>
  <c r="A543" i="6"/>
  <c r="F542" i="6"/>
  <c r="A542" i="6"/>
  <c r="F541" i="6"/>
  <c r="A541" i="6"/>
  <c r="F540" i="6"/>
  <c r="A540" i="6"/>
  <c r="F539" i="6"/>
  <c r="A539" i="6"/>
  <c r="F538" i="6"/>
  <c r="A538" i="6"/>
  <c r="F537" i="6"/>
  <c r="A537" i="6"/>
  <c r="F536" i="6"/>
  <c r="A536" i="6"/>
  <c r="F535" i="6"/>
  <c r="A535" i="6"/>
  <c r="F534" i="6"/>
  <c r="A534" i="6"/>
  <c r="F533" i="6"/>
  <c r="F532" i="6"/>
  <c r="F531" i="6"/>
  <c r="F530" i="6"/>
  <c r="F529" i="6"/>
  <c r="F528" i="6"/>
  <c r="A528" i="6"/>
  <c r="F527" i="6"/>
  <c r="A527" i="6"/>
  <c r="F526" i="6"/>
  <c r="A526" i="6"/>
  <c r="F525" i="6"/>
  <c r="A525" i="6"/>
  <c r="F524" i="6"/>
  <c r="A524" i="6"/>
  <c r="F523" i="6"/>
  <c r="A523" i="6"/>
  <c r="F522" i="6"/>
  <c r="A522" i="6"/>
  <c r="F521" i="6"/>
  <c r="F520" i="6"/>
  <c r="A520" i="6"/>
  <c r="F519" i="6"/>
  <c r="A519" i="6"/>
  <c r="F518" i="6"/>
  <c r="A518" i="6"/>
  <c r="F517" i="6"/>
  <c r="A517" i="6"/>
  <c r="F516" i="6"/>
  <c r="A516" i="6"/>
  <c r="F515" i="6"/>
  <c r="A515" i="6"/>
  <c r="F514" i="6"/>
  <c r="A514" i="6"/>
  <c r="F513" i="6"/>
  <c r="A513" i="6"/>
  <c r="F512" i="6"/>
  <c r="A512" i="6"/>
  <c r="F511" i="6"/>
  <c r="A511" i="6"/>
  <c r="F510" i="6"/>
  <c r="A510" i="6"/>
  <c r="F509" i="6"/>
  <c r="A509" i="6"/>
  <c r="F508" i="6"/>
  <c r="A508" i="6"/>
  <c r="F507" i="6"/>
  <c r="A507" i="6"/>
  <c r="F506" i="6"/>
  <c r="A506" i="6"/>
  <c r="F505" i="6"/>
  <c r="A505" i="6"/>
  <c r="F504" i="6"/>
  <c r="A504" i="6"/>
  <c r="F503" i="6"/>
  <c r="A503" i="6"/>
  <c r="F502" i="6"/>
  <c r="A502" i="6"/>
  <c r="F501" i="6"/>
  <c r="F500" i="6"/>
  <c r="F499" i="6"/>
  <c r="A499" i="6"/>
  <c r="F498" i="6"/>
  <c r="A498" i="6"/>
  <c r="F497" i="6"/>
  <c r="A497" i="6"/>
  <c r="F496" i="6"/>
  <c r="A496" i="6"/>
  <c r="F495" i="6"/>
  <c r="F494" i="6"/>
  <c r="A494" i="6"/>
  <c r="F493" i="6"/>
  <c r="A493" i="6"/>
  <c r="F492" i="6"/>
  <c r="A492" i="6"/>
  <c r="F491" i="6"/>
  <c r="A491" i="6"/>
  <c r="F490" i="6"/>
  <c r="A490" i="6"/>
  <c r="F489" i="6"/>
  <c r="F488" i="6"/>
  <c r="A488" i="6"/>
  <c r="F487" i="6"/>
  <c r="A487" i="6"/>
  <c r="F486" i="6"/>
  <c r="A486" i="6"/>
  <c r="F485" i="6"/>
  <c r="A485" i="6"/>
  <c r="F484" i="6"/>
  <c r="A484" i="6"/>
  <c r="F483" i="6"/>
  <c r="A483" i="6"/>
  <c r="F482" i="6"/>
  <c r="A482" i="6"/>
  <c r="F481" i="6"/>
  <c r="A481" i="6"/>
  <c r="F480" i="6"/>
  <c r="A480" i="6"/>
  <c r="F479" i="6"/>
  <c r="A479" i="6"/>
  <c r="F478" i="6"/>
  <c r="A478" i="6"/>
  <c r="F477" i="6"/>
  <c r="A477" i="6"/>
  <c r="F476" i="6"/>
  <c r="A476" i="6"/>
  <c r="F475" i="6"/>
  <c r="A475" i="6"/>
  <c r="F474" i="6"/>
  <c r="A474" i="6"/>
  <c r="F473" i="6"/>
  <c r="F472" i="6"/>
  <c r="A472" i="6"/>
  <c r="F471" i="6"/>
  <c r="A471" i="6"/>
  <c r="F470" i="6"/>
  <c r="A470" i="6"/>
  <c r="F469" i="6"/>
  <c r="A469" i="6"/>
  <c r="F468" i="6"/>
  <c r="A468" i="6"/>
  <c r="F467" i="6"/>
  <c r="A467" i="6"/>
  <c r="F466" i="6"/>
  <c r="F465" i="6"/>
  <c r="A465" i="6"/>
  <c r="F464" i="6"/>
  <c r="A464" i="6"/>
  <c r="F463" i="6"/>
  <c r="A463" i="6"/>
  <c r="F462" i="6"/>
  <c r="A462" i="6"/>
  <c r="F461" i="6"/>
  <c r="A461" i="6"/>
  <c r="F460" i="6"/>
  <c r="A460" i="6"/>
  <c r="F459" i="6"/>
  <c r="F458" i="6"/>
  <c r="A458" i="6"/>
  <c r="F457" i="6"/>
  <c r="A457" i="6"/>
  <c r="F456" i="6"/>
  <c r="F455" i="6"/>
  <c r="F454" i="6"/>
  <c r="F453" i="6"/>
  <c r="F452" i="6"/>
  <c r="A452" i="6"/>
  <c r="F451" i="6"/>
  <c r="A451" i="6"/>
  <c r="F450" i="6"/>
  <c r="A450" i="6"/>
  <c r="F449" i="6"/>
  <c r="A449" i="6"/>
  <c r="F448" i="6"/>
  <c r="A448" i="6"/>
  <c r="F447" i="6"/>
  <c r="A447" i="6"/>
  <c r="F446" i="6"/>
  <c r="A446" i="6"/>
  <c r="F445" i="6"/>
  <c r="A445" i="6"/>
  <c r="F444" i="6"/>
  <c r="A444" i="6"/>
  <c r="F443" i="6"/>
  <c r="A443" i="6"/>
  <c r="F442" i="6"/>
  <c r="A442" i="6"/>
  <c r="F441" i="6"/>
  <c r="A441" i="6"/>
  <c r="F440" i="6"/>
  <c r="A440" i="6"/>
  <c r="F439" i="6"/>
  <c r="A439" i="6"/>
  <c r="F438" i="6"/>
  <c r="A438" i="6"/>
  <c r="F437" i="6"/>
  <c r="A437" i="6"/>
  <c r="F436" i="6"/>
  <c r="A436" i="6"/>
  <c r="F435" i="6"/>
  <c r="A435" i="6"/>
  <c r="F434" i="6"/>
  <c r="A434" i="6"/>
  <c r="F433" i="6"/>
  <c r="A433" i="6"/>
  <c r="F432" i="6"/>
  <c r="A432" i="6"/>
  <c r="F431" i="6"/>
  <c r="A431" i="6"/>
  <c r="F430" i="6"/>
  <c r="A430" i="6"/>
  <c r="F429" i="6"/>
  <c r="A429" i="6"/>
  <c r="F428" i="6"/>
  <c r="A428" i="6"/>
  <c r="F427" i="6"/>
  <c r="A427" i="6"/>
  <c r="F426" i="6"/>
  <c r="A426" i="6"/>
  <c r="F425" i="6"/>
  <c r="A425" i="6"/>
  <c r="F424" i="6"/>
  <c r="A424" i="6"/>
  <c r="F423" i="6"/>
  <c r="A423" i="6"/>
  <c r="F422" i="6"/>
  <c r="A422" i="6"/>
  <c r="F421" i="6"/>
  <c r="A421" i="6"/>
  <c r="F420" i="6"/>
  <c r="A420" i="6"/>
  <c r="F419" i="6"/>
  <c r="A419" i="6"/>
  <c r="F418" i="6"/>
  <c r="A418" i="6"/>
  <c r="F417" i="6"/>
  <c r="A417" i="6"/>
  <c r="F416" i="6"/>
  <c r="A416" i="6"/>
  <c r="F415" i="6"/>
  <c r="A415" i="6"/>
  <c r="F414" i="6"/>
  <c r="A414" i="6"/>
  <c r="F413" i="6"/>
  <c r="A413" i="6"/>
  <c r="F412" i="6"/>
  <c r="A412" i="6"/>
  <c r="F411" i="6"/>
  <c r="A411" i="6"/>
  <c r="F410" i="6"/>
  <c r="A410" i="6"/>
  <c r="F409" i="6"/>
  <c r="A409" i="6"/>
  <c r="F408" i="6"/>
  <c r="A408" i="6"/>
  <c r="F407" i="6"/>
  <c r="A407" i="6"/>
  <c r="F406" i="6"/>
  <c r="A406" i="6"/>
  <c r="F405" i="6"/>
  <c r="A405" i="6"/>
  <c r="F404" i="6"/>
  <c r="A404" i="6"/>
  <c r="F403" i="6"/>
  <c r="F402" i="6"/>
  <c r="F401" i="6"/>
  <c r="A401" i="6"/>
  <c r="F400" i="6"/>
  <c r="F399" i="6"/>
  <c r="A399" i="6"/>
  <c r="F398" i="6"/>
  <c r="A398" i="6"/>
  <c r="F397" i="6"/>
  <c r="A397" i="6"/>
  <c r="F396" i="6"/>
  <c r="A396" i="6"/>
  <c r="F395" i="6"/>
  <c r="A395" i="6"/>
  <c r="F394" i="6"/>
  <c r="A394" i="6"/>
  <c r="F393" i="6"/>
  <c r="A393" i="6"/>
  <c r="F392" i="6"/>
  <c r="A392" i="6"/>
  <c r="F391" i="6"/>
  <c r="A391" i="6"/>
  <c r="F390" i="6"/>
  <c r="A390" i="6"/>
  <c r="F389" i="6"/>
  <c r="F388" i="6"/>
  <c r="A388" i="6"/>
  <c r="F387" i="6"/>
  <c r="A387" i="6"/>
  <c r="F386" i="6"/>
  <c r="A386" i="6"/>
  <c r="F385" i="6"/>
  <c r="A385" i="6"/>
  <c r="F384" i="6"/>
  <c r="A384" i="6"/>
  <c r="F383" i="6"/>
  <c r="A383" i="6"/>
  <c r="F382" i="6"/>
  <c r="A382" i="6"/>
  <c r="F381" i="6"/>
  <c r="A381" i="6"/>
  <c r="F380" i="6"/>
  <c r="A380" i="6"/>
  <c r="F379" i="6"/>
  <c r="A379" i="6"/>
  <c r="F378" i="6"/>
  <c r="A378" i="6"/>
  <c r="F377" i="6"/>
  <c r="A377" i="6"/>
  <c r="F376" i="6"/>
  <c r="A376" i="6"/>
  <c r="F375" i="6"/>
  <c r="A375" i="6"/>
  <c r="F374" i="6"/>
  <c r="A374" i="6"/>
  <c r="F373" i="6"/>
  <c r="A373" i="6"/>
  <c r="F372" i="6"/>
  <c r="A372" i="6"/>
  <c r="F371" i="6"/>
  <c r="A371" i="6"/>
  <c r="F370" i="6"/>
  <c r="A370" i="6"/>
  <c r="F369" i="6"/>
  <c r="A369" i="6"/>
  <c r="F368" i="6"/>
  <c r="A368" i="6"/>
  <c r="F367" i="6"/>
  <c r="A367" i="6"/>
  <c r="F366" i="6"/>
  <c r="A366" i="6"/>
  <c r="F365" i="6"/>
  <c r="A365" i="6"/>
  <c r="F364" i="6"/>
  <c r="A364" i="6"/>
  <c r="F363" i="6"/>
  <c r="A363" i="6"/>
  <c r="F362" i="6"/>
  <c r="A362" i="6"/>
  <c r="F361" i="6"/>
  <c r="A361" i="6"/>
  <c r="F360" i="6"/>
  <c r="A360" i="6"/>
  <c r="F359" i="6"/>
  <c r="A359" i="6"/>
  <c r="F358" i="6"/>
  <c r="A358" i="6"/>
  <c r="F357" i="6"/>
  <c r="A357" i="6"/>
  <c r="F356" i="6"/>
  <c r="A356" i="6"/>
  <c r="F355" i="6"/>
  <c r="A355" i="6"/>
  <c r="F354" i="6"/>
  <c r="A354" i="6"/>
  <c r="F353" i="6"/>
  <c r="A353" i="6"/>
  <c r="F352" i="6"/>
  <c r="A352" i="6"/>
  <c r="F351" i="6"/>
  <c r="F350" i="6"/>
  <c r="F349" i="6"/>
  <c r="F348" i="6"/>
  <c r="F347" i="6"/>
  <c r="A347" i="6"/>
  <c r="F346" i="6"/>
  <c r="A346" i="6"/>
  <c r="F345" i="6"/>
  <c r="A345" i="6"/>
  <c r="F344" i="6"/>
  <c r="A344" i="6"/>
  <c r="F343" i="6"/>
  <c r="A343" i="6"/>
  <c r="F342" i="6"/>
  <c r="A342" i="6"/>
  <c r="F341" i="6"/>
  <c r="A341" i="6"/>
  <c r="F340" i="6"/>
  <c r="A340" i="6"/>
  <c r="F339" i="6"/>
  <c r="A339" i="6"/>
  <c r="F338" i="6"/>
  <c r="A338" i="6"/>
  <c r="F337" i="6"/>
  <c r="A337" i="6"/>
  <c r="F336" i="6"/>
  <c r="A336" i="6"/>
  <c r="F335" i="6"/>
  <c r="A335" i="6"/>
  <c r="F334" i="6"/>
  <c r="A334" i="6"/>
  <c r="F333" i="6"/>
  <c r="A333" i="6"/>
  <c r="F332" i="6"/>
  <c r="A332" i="6"/>
  <c r="F331" i="6"/>
  <c r="A331" i="6"/>
  <c r="F330" i="6"/>
  <c r="A330" i="6"/>
  <c r="F329" i="6"/>
  <c r="A329" i="6"/>
  <c r="F328" i="6"/>
  <c r="A328" i="6"/>
  <c r="F327" i="6"/>
  <c r="A327" i="6"/>
  <c r="F326" i="6"/>
  <c r="A326" i="6"/>
  <c r="F325" i="6"/>
  <c r="A325" i="6"/>
  <c r="F324" i="6"/>
  <c r="A324" i="6"/>
  <c r="F323" i="6"/>
  <c r="A323" i="6"/>
  <c r="F322" i="6"/>
  <c r="A322" i="6"/>
  <c r="F321" i="6"/>
  <c r="A321" i="6"/>
  <c r="F320" i="6"/>
  <c r="A320" i="6"/>
  <c r="F319" i="6"/>
  <c r="A319" i="6"/>
  <c r="F318" i="6"/>
  <c r="A318" i="6"/>
  <c r="F317" i="6"/>
  <c r="A317" i="6"/>
  <c r="F316" i="6"/>
  <c r="A316" i="6"/>
  <c r="F315" i="6"/>
  <c r="A315" i="6"/>
  <c r="F314" i="6"/>
  <c r="F313" i="6"/>
  <c r="A313" i="6"/>
  <c r="F312" i="6"/>
  <c r="A312" i="6"/>
  <c r="F311" i="6"/>
  <c r="A311" i="6"/>
  <c r="F310" i="6"/>
  <c r="A310" i="6"/>
  <c r="F309" i="6"/>
  <c r="A309" i="6"/>
  <c r="F308" i="6"/>
  <c r="A308" i="6"/>
  <c r="F307" i="6"/>
  <c r="F306" i="6"/>
  <c r="F305" i="6"/>
  <c r="F304" i="6"/>
  <c r="A304" i="6"/>
  <c r="F303" i="6"/>
  <c r="A303" i="6"/>
  <c r="F302" i="6"/>
  <c r="A302" i="6"/>
  <c r="F301" i="6"/>
  <c r="A301" i="6"/>
  <c r="F300" i="6"/>
  <c r="A300" i="6"/>
  <c r="F299" i="6"/>
  <c r="A299" i="6"/>
  <c r="F298" i="6"/>
  <c r="A298" i="6"/>
  <c r="F297" i="6"/>
  <c r="A297" i="6"/>
  <c r="F296" i="6"/>
  <c r="A296" i="6"/>
  <c r="F295" i="6"/>
  <c r="A295" i="6"/>
  <c r="F294" i="6"/>
  <c r="A294" i="6"/>
  <c r="F293" i="6"/>
  <c r="A293" i="6"/>
  <c r="F292" i="6"/>
  <c r="A292" i="6"/>
  <c r="F291" i="6"/>
  <c r="A291" i="6"/>
  <c r="F290" i="6"/>
  <c r="A290" i="6"/>
  <c r="F289" i="6"/>
  <c r="A289" i="6"/>
  <c r="F288" i="6"/>
  <c r="A288" i="6"/>
  <c r="F287" i="6"/>
  <c r="F286" i="6"/>
  <c r="F285" i="6"/>
  <c r="F284" i="6"/>
  <c r="A284" i="6"/>
  <c r="F283" i="6"/>
  <c r="F282" i="6"/>
  <c r="A282" i="6"/>
  <c r="F281" i="6"/>
  <c r="A281" i="6"/>
  <c r="F280" i="6"/>
  <c r="A280" i="6"/>
  <c r="F279" i="6"/>
  <c r="A279" i="6"/>
  <c r="F278" i="6"/>
  <c r="A278" i="6"/>
  <c r="F277" i="6"/>
  <c r="A277" i="6"/>
  <c r="F276" i="6"/>
  <c r="A276" i="6"/>
  <c r="F275" i="6"/>
  <c r="A275" i="6"/>
  <c r="F274" i="6"/>
  <c r="A274" i="6"/>
  <c r="F273" i="6"/>
  <c r="A273" i="6"/>
  <c r="F272" i="6"/>
  <c r="A272" i="6"/>
  <c r="F271" i="6"/>
  <c r="A271" i="6"/>
  <c r="F270" i="6"/>
  <c r="A270" i="6"/>
  <c r="F269" i="6"/>
  <c r="A269" i="6"/>
  <c r="F268" i="6"/>
  <c r="A268" i="6"/>
  <c r="F267" i="6"/>
  <c r="A267" i="6"/>
  <c r="F266" i="6"/>
  <c r="A266" i="6"/>
  <c r="F265" i="6"/>
  <c r="A265" i="6"/>
  <c r="F264" i="6"/>
  <c r="A264" i="6"/>
  <c r="F263" i="6"/>
  <c r="A263" i="6"/>
  <c r="F262" i="6"/>
  <c r="A262" i="6"/>
  <c r="F261" i="6"/>
  <c r="A261" i="6"/>
  <c r="F260" i="6"/>
  <c r="A260" i="6"/>
  <c r="F259" i="6"/>
  <c r="A259" i="6"/>
  <c r="F258" i="6"/>
  <c r="A258" i="6"/>
  <c r="F257" i="6"/>
  <c r="A257" i="6"/>
  <c r="F256" i="6"/>
  <c r="A256" i="6"/>
  <c r="F255" i="6"/>
  <c r="A255" i="6"/>
  <c r="F254" i="6"/>
  <c r="A254" i="6"/>
  <c r="F253" i="6"/>
  <c r="A253" i="6"/>
  <c r="F252" i="6"/>
  <c r="A252" i="6"/>
  <c r="F251" i="6"/>
  <c r="A251" i="6"/>
  <c r="F250" i="6"/>
  <c r="A250" i="6"/>
  <c r="F249" i="6"/>
  <c r="A249" i="6"/>
  <c r="F248" i="6"/>
  <c r="A248" i="6"/>
  <c r="F247" i="6"/>
  <c r="A247" i="6"/>
  <c r="F246" i="6"/>
  <c r="F245" i="6"/>
  <c r="F244" i="6"/>
  <c r="A244" i="6"/>
  <c r="F243" i="6"/>
  <c r="A243" i="6"/>
  <c r="F242" i="6"/>
  <c r="A242" i="6"/>
  <c r="F241" i="6"/>
  <c r="A241" i="6"/>
  <c r="F240" i="6"/>
  <c r="A240" i="6"/>
  <c r="F239" i="6"/>
  <c r="A239" i="6"/>
  <c r="F238" i="6"/>
  <c r="A238" i="6"/>
  <c r="F237" i="6"/>
  <c r="A237" i="6"/>
  <c r="F236" i="6"/>
  <c r="A236" i="6"/>
  <c r="F235" i="6"/>
  <c r="A235" i="6"/>
  <c r="F234" i="6"/>
  <c r="A234" i="6"/>
  <c r="F233" i="6"/>
  <c r="A233" i="6"/>
  <c r="F232" i="6"/>
  <c r="A232" i="6"/>
  <c r="F231" i="6"/>
  <c r="A231" i="6"/>
  <c r="F230" i="6"/>
  <c r="F229" i="6"/>
  <c r="F228" i="6"/>
  <c r="A228" i="6"/>
  <c r="F227" i="6"/>
  <c r="A227" i="6"/>
  <c r="F226" i="6"/>
  <c r="A226" i="6"/>
  <c r="F225" i="6"/>
  <c r="A225" i="6"/>
  <c r="F224" i="6"/>
  <c r="F223" i="6"/>
  <c r="A223" i="6"/>
  <c r="F222" i="6"/>
  <c r="A222" i="6"/>
  <c r="F221" i="6"/>
  <c r="A221" i="6"/>
  <c r="F220" i="6"/>
  <c r="A220" i="6"/>
  <c r="F219" i="6"/>
  <c r="A219" i="6"/>
  <c r="F218" i="6"/>
  <c r="A218" i="6"/>
  <c r="F217" i="6"/>
  <c r="A217" i="6"/>
  <c r="F216" i="6"/>
  <c r="A216" i="6"/>
  <c r="F215" i="6"/>
  <c r="A215" i="6"/>
  <c r="F214" i="6"/>
  <c r="A214" i="6"/>
  <c r="F213" i="6"/>
  <c r="A213" i="6"/>
  <c r="F212" i="6"/>
  <c r="A212" i="6"/>
  <c r="F211" i="6"/>
  <c r="A211" i="6"/>
  <c r="F210" i="6"/>
  <c r="A210" i="6"/>
  <c r="F209" i="6"/>
  <c r="A209" i="6"/>
  <c r="F208" i="6"/>
  <c r="F207" i="6"/>
  <c r="A207" i="6"/>
  <c r="F206" i="6"/>
  <c r="A206" i="6"/>
  <c r="F205" i="6"/>
  <c r="A205" i="6"/>
  <c r="F204" i="6"/>
  <c r="A204" i="6"/>
  <c r="F203" i="6"/>
  <c r="A203" i="6"/>
  <c r="F202" i="6"/>
  <c r="A202" i="6"/>
  <c r="F201" i="6"/>
  <c r="A201" i="6"/>
  <c r="F200" i="6"/>
  <c r="F199" i="6"/>
  <c r="A199" i="6"/>
  <c r="F198" i="6"/>
  <c r="A198" i="6"/>
  <c r="F197" i="6"/>
  <c r="A197" i="6"/>
  <c r="F196" i="6"/>
  <c r="A196" i="6"/>
  <c r="F195" i="6"/>
  <c r="A195" i="6"/>
  <c r="F194" i="6"/>
  <c r="A194" i="6"/>
  <c r="F193" i="6"/>
  <c r="A193" i="6"/>
  <c r="F192" i="6"/>
  <c r="A192" i="6"/>
  <c r="F191" i="6"/>
  <c r="A191" i="6"/>
  <c r="F190" i="6"/>
  <c r="A190" i="6"/>
  <c r="F189" i="6"/>
  <c r="A189" i="6"/>
  <c r="F188" i="6"/>
  <c r="A188" i="6"/>
  <c r="F187" i="6"/>
  <c r="A187" i="6"/>
  <c r="F186" i="6"/>
  <c r="F185" i="6"/>
  <c r="F184" i="6"/>
  <c r="F183" i="6"/>
  <c r="A183" i="6"/>
  <c r="F182" i="6"/>
  <c r="A182" i="6"/>
  <c r="F181" i="6"/>
  <c r="A181" i="6"/>
  <c r="F180" i="6"/>
  <c r="A180" i="6"/>
  <c r="F179" i="6"/>
  <c r="A179" i="6"/>
  <c r="F178" i="6"/>
  <c r="A178" i="6"/>
  <c r="F177" i="6"/>
  <c r="A177" i="6"/>
  <c r="F176" i="6"/>
  <c r="F175" i="6"/>
  <c r="A175" i="6"/>
  <c r="F174" i="6"/>
  <c r="F173" i="6"/>
  <c r="A173" i="6"/>
  <c r="F172" i="6"/>
  <c r="A172" i="6"/>
  <c r="F171" i="6"/>
  <c r="A171" i="6"/>
  <c r="F170" i="6"/>
  <c r="A170" i="6"/>
  <c r="F169" i="6"/>
  <c r="A169" i="6"/>
  <c r="F168" i="6"/>
  <c r="A168" i="6"/>
  <c r="F167" i="6"/>
  <c r="A167" i="6"/>
  <c r="F166" i="6"/>
  <c r="A166" i="6"/>
  <c r="F165" i="6"/>
  <c r="A165" i="6"/>
  <c r="F164" i="6"/>
  <c r="A164" i="6"/>
  <c r="F163" i="6"/>
  <c r="A163" i="6"/>
  <c r="F162" i="6"/>
  <c r="F161" i="6"/>
  <c r="F160" i="6"/>
  <c r="A160" i="6"/>
  <c r="F159" i="6"/>
  <c r="A159" i="6"/>
  <c r="F158" i="6"/>
  <c r="A158" i="6"/>
  <c r="F157" i="6"/>
  <c r="A157" i="6"/>
  <c r="F156" i="6"/>
  <c r="A156" i="6"/>
  <c r="F155" i="6"/>
  <c r="A155" i="6"/>
  <c r="F154" i="6"/>
  <c r="A154" i="6"/>
  <c r="F153" i="6"/>
  <c r="A153" i="6"/>
  <c r="F152" i="6"/>
  <c r="A152" i="6"/>
  <c r="F151" i="6"/>
  <c r="A151" i="6"/>
  <c r="F150" i="6"/>
  <c r="A150" i="6"/>
  <c r="F149" i="6"/>
  <c r="A149" i="6"/>
  <c r="F148" i="6"/>
  <c r="A148" i="6"/>
  <c r="F147" i="6"/>
  <c r="A147" i="6"/>
  <c r="F146" i="6"/>
  <c r="A146" i="6"/>
  <c r="F145" i="6"/>
  <c r="A145" i="6"/>
  <c r="F144" i="6"/>
  <c r="A144" i="6"/>
  <c r="F143" i="6"/>
  <c r="A143" i="6"/>
  <c r="F142" i="6"/>
  <c r="A142" i="6"/>
  <c r="F141" i="6"/>
  <c r="A141" i="6"/>
  <c r="F140" i="6"/>
  <c r="A140" i="6"/>
  <c r="F139" i="6"/>
  <c r="A139" i="6"/>
  <c r="F138" i="6"/>
  <c r="A138" i="6"/>
  <c r="F137" i="6"/>
  <c r="A137" i="6"/>
  <c r="F136" i="6"/>
  <c r="A136" i="6"/>
  <c r="F135" i="6"/>
  <c r="A135" i="6"/>
  <c r="F134" i="6"/>
  <c r="A134" i="6"/>
  <c r="F133" i="6"/>
  <c r="A133" i="6"/>
  <c r="F132" i="6"/>
  <c r="A132" i="6"/>
  <c r="F131" i="6"/>
  <c r="A131" i="6"/>
  <c r="F130" i="6"/>
  <c r="A130" i="6"/>
  <c r="F129" i="6"/>
  <c r="A129" i="6"/>
  <c r="F128" i="6"/>
  <c r="A128" i="6"/>
  <c r="F127" i="6"/>
  <c r="A127" i="6"/>
  <c r="F126" i="6"/>
  <c r="A126" i="6"/>
  <c r="F125" i="6"/>
  <c r="A125" i="6"/>
  <c r="F124" i="6"/>
  <c r="A124" i="6"/>
  <c r="F123" i="6"/>
  <c r="A123" i="6"/>
  <c r="F122" i="6"/>
  <c r="A122" i="6"/>
  <c r="F121" i="6"/>
  <c r="F120" i="6"/>
  <c r="F119" i="6"/>
  <c r="F118" i="6"/>
  <c r="A118" i="6"/>
  <c r="F117" i="6"/>
  <c r="A117" i="6"/>
  <c r="F116" i="6"/>
  <c r="A116" i="6"/>
  <c r="F115" i="6"/>
  <c r="F114" i="6"/>
  <c r="F113" i="6"/>
  <c r="F112" i="6"/>
  <c r="A112" i="6"/>
  <c r="F111" i="6"/>
  <c r="A111" i="6"/>
  <c r="F110" i="6"/>
  <c r="F109" i="6"/>
  <c r="F108" i="6"/>
  <c r="A108" i="6"/>
  <c r="F107" i="6"/>
  <c r="F106" i="6"/>
  <c r="A106" i="6"/>
  <c r="F105" i="6"/>
  <c r="A105" i="6"/>
  <c r="F104" i="6"/>
  <c r="A104" i="6"/>
  <c r="F103" i="6"/>
  <c r="A103" i="6"/>
  <c r="F102" i="6"/>
  <c r="A102" i="6"/>
  <c r="F101" i="6"/>
  <c r="A101" i="6"/>
  <c r="F100" i="6"/>
  <c r="A100" i="6"/>
  <c r="F99" i="6"/>
  <c r="A99" i="6"/>
  <c r="F98" i="6"/>
  <c r="A98" i="6"/>
  <c r="F97" i="6"/>
  <c r="A97" i="6"/>
  <c r="F96" i="6"/>
  <c r="A96" i="6"/>
  <c r="F95" i="6"/>
  <c r="A95" i="6"/>
  <c r="F94" i="6"/>
  <c r="F93" i="6"/>
  <c r="F92" i="6"/>
  <c r="A92" i="6"/>
  <c r="F91" i="6"/>
  <c r="A91" i="6"/>
  <c r="F90" i="6"/>
  <c r="A90" i="6"/>
  <c r="F89" i="6"/>
  <c r="A89" i="6"/>
  <c r="F88" i="6"/>
  <c r="A88" i="6"/>
  <c r="F87" i="6"/>
  <c r="A87" i="6"/>
  <c r="F86" i="6"/>
  <c r="A86" i="6"/>
  <c r="F85" i="6"/>
  <c r="A85" i="6"/>
  <c r="F84" i="6"/>
  <c r="A84" i="6"/>
  <c r="F83" i="6"/>
  <c r="A83" i="6"/>
  <c r="F82" i="6"/>
  <c r="A82" i="6"/>
  <c r="F81" i="6"/>
  <c r="F80" i="6"/>
  <c r="F79" i="6"/>
  <c r="F78" i="6"/>
  <c r="F77" i="6"/>
  <c r="F76" i="6"/>
  <c r="F75" i="6"/>
  <c r="F74" i="6"/>
  <c r="A74" i="6"/>
  <c r="F73" i="6"/>
  <c r="A73" i="6"/>
  <c r="F72" i="6"/>
  <c r="A72" i="6"/>
  <c r="F71" i="6"/>
  <c r="A71" i="6"/>
  <c r="F70" i="6"/>
  <c r="A70" i="6"/>
  <c r="F69" i="6"/>
  <c r="F68" i="6"/>
  <c r="A68" i="6"/>
  <c r="F67" i="6"/>
  <c r="A67" i="6"/>
  <c r="F66" i="6"/>
  <c r="A66" i="6"/>
  <c r="F65" i="6"/>
  <c r="A65" i="6"/>
  <c r="F64" i="6"/>
  <c r="A64" i="6"/>
  <c r="F63" i="6"/>
  <c r="A63" i="6"/>
  <c r="F62" i="6"/>
  <c r="A62" i="6"/>
  <c r="F61" i="6"/>
  <c r="F60" i="6"/>
  <c r="F59" i="6"/>
  <c r="A59" i="6"/>
  <c r="F58" i="6"/>
  <c r="A58" i="6"/>
  <c r="F57" i="6"/>
  <c r="A57" i="6"/>
  <c r="F56" i="6"/>
  <c r="A56" i="6"/>
  <c r="F55" i="6"/>
  <c r="A55" i="6"/>
  <c r="F54" i="6"/>
  <c r="A54" i="6"/>
  <c r="F53" i="6"/>
  <c r="A53" i="6"/>
  <c r="F52" i="6"/>
  <c r="A52" i="6"/>
  <c r="F51" i="6"/>
  <c r="A51" i="6"/>
  <c r="F50" i="6"/>
  <c r="A50" i="6"/>
  <c r="F49" i="6"/>
  <c r="A49" i="6"/>
  <c r="F48" i="6"/>
  <c r="A48" i="6"/>
  <c r="F47" i="6"/>
  <c r="A47" i="6"/>
  <c r="F46" i="6"/>
  <c r="A46" i="6"/>
  <c r="F45" i="6"/>
  <c r="A45" i="6"/>
  <c r="F44" i="6"/>
  <c r="F43" i="6"/>
  <c r="F42" i="6"/>
  <c r="F41" i="6"/>
  <c r="A41" i="6"/>
  <c r="F40" i="6"/>
  <c r="A40" i="6"/>
  <c r="F39" i="6"/>
  <c r="A39" i="6"/>
  <c r="F38" i="6"/>
  <c r="A38" i="6"/>
  <c r="F37" i="6"/>
  <c r="A37" i="6"/>
  <c r="F36" i="6"/>
  <c r="A36" i="6"/>
  <c r="F35" i="6"/>
  <c r="A35" i="6"/>
  <c r="F34" i="6"/>
  <c r="A34" i="6"/>
  <c r="F33" i="6"/>
  <c r="F32" i="6"/>
  <c r="A32" i="6"/>
  <c r="F31" i="6"/>
  <c r="A31" i="6"/>
  <c r="F30" i="6"/>
  <c r="A30" i="6"/>
  <c r="F29" i="6"/>
  <c r="A29" i="6"/>
  <c r="F28" i="6"/>
  <c r="F27" i="6"/>
  <c r="A27" i="6"/>
  <c r="F26" i="6"/>
  <c r="A26" i="6"/>
  <c r="F25" i="6"/>
  <c r="F24" i="6"/>
  <c r="A24" i="6"/>
  <c r="F23" i="6"/>
  <c r="A23" i="6"/>
  <c r="F22" i="6"/>
  <c r="A22" i="6"/>
  <c r="F21" i="6"/>
  <c r="A21" i="6"/>
  <c r="F20" i="6"/>
  <c r="A20" i="6"/>
  <c r="F19" i="6"/>
  <c r="A19" i="6"/>
  <c r="F18" i="6"/>
  <c r="A18" i="6"/>
  <c r="F17" i="6"/>
  <c r="A17" i="6"/>
  <c r="F16" i="6"/>
  <c r="A16" i="6"/>
  <c r="F15" i="6"/>
  <c r="F14" i="6"/>
  <c r="A14" i="6"/>
  <c r="F13" i="6"/>
  <c r="A13" i="6"/>
  <c r="F12" i="6"/>
  <c r="A12" i="6"/>
  <c r="F11" i="6"/>
  <c r="A11" i="6"/>
  <c r="F10" i="6"/>
  <c r="A10" i="6"/>
  <c r="F9" i="6"/>
  <c r="A9" i="6"/>
  <c r="F8" i="6"/>
  <c r="A8" i="6"/>
  <c r="F7" i="6"/>
  <c r="A7" i="6"/>
  <c r="F6" i="6"/>
  <c r="A6" i="6"/>
  <c r="F5" i="6"/>
  <c r="A5" i="6"/>
  <c r="F4" i="6"/>
  <c r="A4" i="6"/>
</calcChain>
</file>

<file path=xl/sharedStrings.xml><?xml version="1.0" encoding="utf-8"?>
<sst xmlns="http://schemas.openxmlformats.org/spreadsheetml/2006/main" count="36569" uniqueCount="8606">
  <si>
    <t>-1-</t>
  </si>
  <si>
    <t>-2-</t>
  </si>
  <si>
    <t>-3-</t>
  </si>
  <si>
    <t>-4-</t>
  </si>
  <si>
    <t>-5-</t>
  </si>
  <si>
    <t>-6-</t>
  </si>
  <si>
    <t>-7-</t>
  </si>
  <si>
    <t>-8-</t>
  </si>
  <si>
    <t>-9-</t>
  </si>
  <si>
    <t>College</t>
  </si>
  <si>
    <t>Program Title</t>
  </si>
  <si>
    <t>6-Digit CIP</t>
  </si>
  <si>
    <r>
      <t xml:space="preserve">Program definitions for 6-digit CIP 
</t>
    </r>
    <r>
      <rPr>
        <i/>
        <sz val="14"/>
        <color rgb="FF000000"/>
        <rFont val="Calibri"/>
        <family val="2"/>
      </rPr>
      <t>Note: CIP codes that end in “99” (XX.XX99) serve as a ‘Other,’ and are intended to include specialized programs that are not classified into other detailed 6-digit CIPs in the same group.</t>
    </r>
  </si>
  <si>
    <t>Agree with program definition in column 4? (Yes/No)</t>
  </si>
  <si>
    <t>If column 5 is no, select the 6-digit CIP that is more appropriate for your program. Identify one CIP code.</t>
  </si>
  <si>
    <t>Occupations (SOC codes) linked to the 6-digit CIP from column 3 on the federal CIP to SOC crosswalk</t>
  </si>
  <si>
    <r>
      <t xml:space="preserve">Which occupations does your program train for that are </t>
    </r>
    <r>
      <rPr>
        <b/>
        <u/>
        <sz val="14"/>
        <color theme="1"/>
        <rFont val="Calibri"/>
        <family val="2"/>
        <scheme val="minor"/>
      </rPr>
      <t>not</t>
    </r>
    <r>
      <rPr>
        <b/>
        <sz val="14"/>
        <color theme="1"/>
        <rFont val="Calibri"/>
        <family val="2"/>
        <scheme val="minor"/>
      </rPr>
      <t xml:space="preserve"> currently linked on the crosswalk? Identify all that apply.</t>
    </r>
  </si>
  <si>
    <t>Of the occupations in columns 7 or 8, what is the primary occupation for which your program trains? Identify one SOC code.</t>
  </si>
  <si>
    <t>Broward College</t>
  </si>
  <si>
    <t>Aerospace Sciences</t>
  </si>
  <si>
    <t>A program that focuses on the general study of aviation and the aviation industry, including in-flight and ground support operations. Includes instruction in the technical, business, and general aspects of air transportation systems.</t>
  </si>
  <si>
    <t>11-3071: Transportation, Storage, and Distribution Managers</t>
  </si>
  <si>
    <t>Environmental Science</t>
  </si>
  <si>
    <t xml:space="preserve">Any instructional program in natural resources conservation and research not defined in codes 03.0101 and 03.0103 - 03.0104. 
</t>
  </si>
  <si>
    <t>99-9999: NO MATCH</t>
  </si>
  <si>
    <t>Exceptional Student Education</t>
  </si>
  <si>
    <t>A general program that focuses on the design and provision of teaching and other educational services to children or adults with special learning needs or disabilities, and that may prepare individuals to function as special education teachers in a collaborative or team environment. Includes instruction in diagnosing learning disabilities, developing individual education plans, teaching and supervising special education students, special education counseling, and applicable laws and policies.</t>
  </si>
  <si>
    <t>25-2051: Special Education Teachers, Preschool
25-2055: Special Education Teachers, Kindergarten
25-2056: Special Education Teachers, Elementary School
25-2057: Special Education Teachers, Middle School
25-2058: Special Education Teachers, Secondary School
25-2059: Special Education Teachers, All Other
25-9043: Teaching Assistants, Special Education</t>
  </si>
  <si>
    <t>Information Technology</t>
  </si>
  <si>
    <t>A program that focuses on the design of technological information systems, including computing systems, as solutions to business and research data and communications support needs. Includes instruction in the principles of computer hardware and software components, algorithms, databases, telecommunications, user tactics, application testing, and human interface design.</t>
  </si>
  <si>
    <t>11-3021: Computer and Information Systems Managers
15-1211: Computer Systems Analysts
15-1212: Information Security Analysts
15-1221: Computer and Information Research Scientists
15-1241: Computer Network Architects
15-1243: Database Architects
15-1252: Software Developers
15-1253: Software Quality Assurance Analysts and Testers
15-2051: Data Scientists</t>
  </si>
  <si>
    <t>Middle Grades Mathematics Education</t>
  </si>
  <si>
    <t>A program that prepares individuals to teach mathematics programs at various educational levels.</t>
  </si>
  <si>
    <t>25-1022: Mathematical Science Teachers, Postsecondary
25-1081: Education Teachers, Postsecondary
25-2022: Middle School Teachers, Except Special and Career/Technical Education
25-2031: Secondary School Teachers, Except Special and Career/Technical Education</t>
  </si>
  <si>
    <t>Nursing</t>
  </si>
  <si>
    <t>A program that generally prepares individuals in the knowledge, techniques and procedures for promoting health, providing care for sick, disabled, infirmed, or other individuals or groups. Includes instruction in the administration of medication and treatments, assisting a physician during treatments and examinations, Referring patients to physicians and other health care specialists, and planning education for health maintenance.</t>
  </si>
  <si>
    <t>25-1072: Nursing Instructors and Teachers, Postsecondary
29-1141: Registered Nurses</t>
  </si>
  <si>
    <t>Secondary Biology Education</t>
  </si>
  <si>
    <t>A program that prepares individuals to teach biology programs at various educational levels.</t>
  </si>
  <si>
    <t>25-1042: Biological Science Teachers, Postsecondary
25-1081: Education Teachers, Postsecondary
25-2022: Middle School Teachers, Except Special and Career/Technical Education
25-2031: Secondary School Teachers, Except Special and Career/Technical Education</t>
  </si>
  <si>
    <t>Secondary Mathematics Education</t>
  </si>
  <si>
    <t>Supervision and Management</t>
  </si>
  <si>
    <t xml:space="preserve">Any instructional program in business and administration not defined in codes 52.0201 - 52.0299. See also: 51.0701 Health/Health Care Administration/Management., 51.0702 Hospital and Health Care Facilities Administration/Management.
</t>
  </si>
  <si>
    <t>Supply Chain Management</t>
  </si>
  <si>
    <t>A program that prepares individuals to manage and coordinate all logistical functions in an enterprise, ranging from acquisitions to receiving and handling, through internal allocation of resources to operations units, to the handling and delivery of output. Includes instruction in acquisitions and purchasing, inventory control, storage and handling, just-in-time manufacturing, logistics planning, shipping and delivery management, transportation, quality control, resource estimation and allocation, and budgeting.</t>
  </si>
  <si>
    <t>11-3051: Industrial Production Managers
11-3071: Transportation, Storage, and Distribution Managers
13-1081: Logisticians
25-1011: Business Teachers, Postsecondary</t>
  </si>
  <si>
    <t>Technology Management</t>
  </si>
  <si>
    <t xml:space="preserve">Any instructional program in computer/information technology services administration and management not defined in codes 11.1001 - 11.1006. See also: 51.0706 Health Information/Medical Records Administration/Administrator.
</t>
  </si>
  <si>
    <t>Chipola College</t>
  </si>
  <si>
    <t>Business Administration</t>
  </si>
  <si>
    <t>A program that generally prepares individuals to plan, organize, direct, and control the functions and processes of a firm or organization. Includes instruction in management theory, human resources management and behavior, accounting and other quantitative methods, purchasing and logistics, organization and production, marketing, and business decision-making.</t>
  </si>
  <si>
    <t>11-1011: Chief Executives
11-1021: General and Operations Managers
11-2022: Sales Managers
11-3012: Administrative Services Managers
11-3013: Facilities Managers
11-3051: Industrial Production Managers
11-3071: Transportation, Storage, and Distribution Managers
11-3111: Compensation and Benefits Managers
11-3121: Human Resources Managers
11-3131: Training and Development Managers
11-9021: Construction Managers
11-9072: Entertainment and Recreation Managers, Except Gambling
11-9151: Social and Community Service Managers
11-9179: Personal Service Managers, All Other
11-9199: Managers, All Other
13-1051: Cost Estimators
13-1071: Human Resources Specialists
13-1081: Logisticians
13-1082: Project Management Specialists
13-1111: Management Analysts
13-1141: Compensation, Benefits, and Job Analysis Specialists
13-1199: Business Operations Specialists, All Other
25-1011: Business Teachers, Postsecondary</t>
  </si>
  <si>
    <t>Elementary Education</t>
  </si>
  <si>
    <t> A program that prepares individuals to teach students in the elementary grades, which may include kindergarten through grade eight, depending on the school system or state regulations. Includes preparation to teach all elementary education subject matter.</t>
  </si>
  <si>
    <t>25-1081: Education Teachers, Postsecondary
25-2021: Elementary School Teachers, Except Special Education</t>
  </si>
  <si>
    <t>English Education</t>
  </si>
  <si>
    <t>A program that prepares individuals to teach English grammar, composition and literature programs at various educational levels.</t>
  </si>
  <si>
    <t>25-1081: Education Teachers, Postsecondary
25-1123: English Language and Literature Teachers, Postsecondary
25-2022: Middle School Teachers, Except Special and Career/Technical Education
25-2031: Secondary School Teachers, Except Special and Career/Technical Education</t>
  </si>
  <si>
    <t>Middle Grades Science Education</t>
  </si>
  <si>
    <t>A program that prepares individuals to teach general science programs, or a combination of the biological and physical science subject matter areas, at various educational levels.</t>
  </si>
  <si>
    <t>25-1041: Agricultural Sciences Teachers, Postsecondary
25-1042: Biological Science Teachers, Postsecondary
25-1043: Forestry and Conservation Science Teachers, Postsecondary
25-1051: Atmospheric, Earth, Marine, and Space Sciences Teachers, Postsecondary
25-1052: Chemistry Teachers, Postsecondary
25-1053: Environmental Science Teachers, Postsecondary
25-1054: Physics Teachers, Postsecondary
25-1081: Education Teachers, Postsecondary
25-2022: Middle School Teachers, Except Special and Career/Technical Education
25-2031: Secondary School Teachers, Except Special and Career/Technical Education</t>
  </si>
  <si>
    <t>Secondary Science-Biology Education</t>
  </si>
  <si>
    <t>College of Central Florida</t>
  </si>
  <si>
    <t>Business and Organizational Management</t>
  </si>
  <si>
    <t>Early Childhood Education, Pre-K through Grade 3</t>
  </si>
  <si>
    <t>A program that prepares individuals to teach students ranging in age from infancy through eight years (grade three), depending on the school system or state regulations. Includes preparation to teach all relevant subject matter. See also: 13.1501 Teacher Assistant/Aide.</t>
  </si>
  <si>
    <t>25-1081: Education Teachers, Postsecondary
25-2011: Preschool Teachers, Except Special Education
25-2012: Kindergarten Teachers, Except Special Education
25-2021: Elementary School Teachers, Except Special Education
25-9042: Teaching Assistants, Preschool, Elementary, Middle, and Secondary School, Except Special Education
25-9043: Teaching Assistants, Special Education</t>
  </si>
  <si>
    <t>College of the Florida Keys</t>
  </si>
  <si>
    <t>Marine Resource Management</t>
  </si>
  <si>
    <t>A program that focuses on the study of biology, chemistry, geology and physics applied to marine, estuarine and coastal environments. Includes instruction in marine biogeochemistry, atmosphere and ocean dynamics, coastal ecology, coastal ocean processes, microbial ecology, marine ecosystem modeling, and polar microbiology. See also: 26.1302 Marine Biology and Biological Oceanography.</t>
  </si>
  <si>
    <t>11-9121: Natural Sciences Managers
19-1023: Zoologists and Wildlife Biologists
19-1029: Biological Scientists, All Other
19-2041: Environmental Scientists and Specialists, Including Health
19-2042: Geoscientists, Except Hydrologists and Geographers
19-2099: Physical Scientists, All Other
25-1199: Postsecondary Teachers, All Other</t>
  </si>
  <si>
    <t>Daytona State College</t>
  </si>
  <si>
    <t xml:space="preserve">Accounting </t>
  </si>
  <si>
    <t> A program that prepares individuals to practice the profession of accounting and to perform related business functions. Includes instruction in accounting principles and theory, financial accounting, managerial accounting, cost accounting, budget control, tax accounting, legal aspects of accounting, auditing, reporting procedures, statement analysis, planning and consulting, business information systems, accounting research methods, professional standards and ethics, and applications to specific for-profit, public, and non-profit organizations.</t>
  </si>
  <si>
    <t>13-2011: Accountants and Auditors
13-2022: Appraisers of Personal and Business Property
13-2031: Budget Analysts
13-2041: Credit Analysts
13-2054: Financial Risk Specialists
13-2061: Financial Examiners
13-2081: Tax Examiners and Collectors, and Revenue Agents
13-2082: Tax Preparers
25-1011: Business Teachers, Postsecondary</t>
  </si>
  <si>
    <t>Engineering Technology</t>
  </si>
  <si>
    <t xml:space="preserve">Any instructional program in engineering technologies and engineering-related fields not defined in codes 15.0000 - 15.1799.
</t>
  </si>
  <si>
    <t xml:space="preserve">Information Technology </t>
  </si>
  <si>
    <t>Secondary Chemistry Education</t>
  </si>
  <si>
    <t>A program that prepares individuals to teach chemistry programs at various educational levels.</t>
  </si>
  <si>
    <t>25-1052: Chemistry Teachers, Postsecondary
25-1081: Education Teachers, Postsecondary
25-2022: Middle School Teachers, Except Special and Career/Technical Education
25-2031: Secondary School Teachers, Except Special and Career/Technical Education</t>
  </si>
  <si>
    <t>Secondary Earth/Space Science Education</t>
  </si>
  <si>
    <t>Secondary Physics Education</t>
  </si>
  <si>
    <t>A program that prepares individuals to teach physics programs at various educational levels.</t>
  </si>
  <si>
    <t>25-1054: Physics Teachers, Postsecondary
25-1081: Education Teachers, Postsecondary
25-2031: Secondary School Teachers, Except Special and Career/Technical Education</t>
  </si>
  <si>
    <t>Eastern Florida State College</t>
  </si>
  <si>
    <t xml:space="preserve">Applied Health Sciences </t>
  </si>
  <si>
    <t>A program that focuses on the application of policy analysis, public administration, business management, and communications to the planning and management of health services delivery systems in the public and private sectors, and prepares individuals to function as health services administrators and managers. Includes instruction in health systems planning, public health organization and management, pubic health policy formulation and analysis, finance, business and operations management, economics of health care, organizational and health communications, marketing, human resources management, and public health law and regulations.</t>
  </si>
  <si>
    <t>11-9111: Medical and Health Services Managers</t>
  </si>
  <si>
    <t>Computer Information Systems Technology</t>
  </si>
  <si>
    <t>A program that focuses on the theory, organization, and process of information collection, transmission, and utilization in traditional and electronic forms. Includes instruction in information classification and organization; information storage and processing; transmission, transfer, and signaling; communications and networking; systems planning and design; human interfacing and use analysis; database development; information policy analysis; and related aspects of hardware, software, economics, social factors, and capacity.</t>
  </si>
  <si>
    <t>11-3021: Computer and Information Systems Managers
15-1221: Computer and Information Research Scientists
15-1243: Database Architects
15-1252: Software Developers
15-1255: Web and Digital Interface Designers
15-1299: Computer Occupations, All Other
25-1021: Computer Science Teachers, Postsecondary</t>
  </si>
  <si>
    <t>Organizational Management</t>
  </si>
  <si>
    <t>Science Teacher Education</t>
  </si>
  <si>
    <t>Florida Gateway College</t>
  </si>
  <si>
    <t>Early Childhood Education, Birth through Age 4; non-certification</t>
  </si>
  <si>
    <t xml:space="preserve">Water Resources Management </t>
  </si>
  <si>
    <t>A program that prepares individuals to apply the principles of marine/aquatic biology, oceanography, natural resource economics, and natural resources management to the development, conservation, and management of freshwater and saltwater environments. Includes instruction in subjects such as wetlands, riverine, lacustrine, coastal, and oceanic water resources; water conservation and use; flood control; pollution control; water supply logistics; wastewater management; aquatic and marine ecology; aquatic and marine life conservation; and the economic and recreational uses of water resources. See also: 14.0805 Water Resources Engineering., 26.1304 Aquatic Biology/Limnology., 40.0605 Hydrology and Water Resources Science.</t>
  </si>
  <si>
    <t>19-1031: Conservation Scientists
25-1043: Forestry and Conservation Science Teachers, Postsecondary</t>
  </si>
  <si>
    <t>Florida SouthWestern State College</t>
  </si>
  <si>
    <t>Cardiopulmonary Sciences</t>
  </si>
  <si>
    <t>A program that prepares individuals, under the supervision of physicians, to assist in developing respiratory care plans, administer respiratory care procedures, supervise personnel and equipment operation, maintain records, and consult with other health care team members. Includes instruction in the applied basic biomedical sciences; anatomy, physiology, and pathology of the respiratory system; clinical medicine; therapeutic procedures; clinical expressions; data collection and record-keeping; patient communication; equipment operation and maintenance; personnel supervision; and procedures for special population groups.</t>
  </si>
  <si>
    <t>25-1071: Health Specialties Teachers, Postsecondary
29-1126: Respiratory Therapists
29-2099: Health Technologists and Technicians, All Other</t>
  </si>
  <si>
    <t xml:space="preserve">Public Safety Administration </t>
  </si>
  <si>
    <t xml:space="preserve">Any instructional program in homeland security, law enforcement, firefighting, and related protective services not defined in codes 43.0100 - 43.0499.
</t>
  </si>
  <si>
    <t>Florida State College at Jacksonville</t>
  </si>
  <si>
    <t>Biomedical Sciences</t>
  </si>
  <si>
    <t>A general, program that focuses on the integrative scientific study of biological issues related to health and medicine, or a program in one or more of the biomedical sciences that is undifferentiated as to title. Includes instruction in any of the basic medical sciences at the research level; biological science research in biomedical faculties; and general studies encompassing a variety of the biomedical disciplines.</t>
  </si>
  <si>
    <t>19-1042: Medical Scientists, Except Epidemiologists
19-4021: Biological Technicians
25-1042: Biological Science Teachers, Postsecondary</t>
  </si>
  <si>
    <t>Computer Networking</t>
  </si>
  <si>
    <t> A program that focuses on the design, implementation, and management of linked systems of computers, peripherals, and associated software to maximize efficiency and productivity, and that prepares individuals to function as network specialists and managers at various levels. Includes instruction in operating systems and applications; systems design and analysis; networking theory and solutions; types of networks; network management and control; network and flow optimization; security; configuring; and troubleshooting.</t>
  </si>
  <si>
    <t>11-3021: Computer and Information Systems Managers
15-1211: Computer Systems Analysts
15-1212: Information Security Analysts
15-1231: Computer Network Support Specialists
15-1241: Computer Network Architects
25-1021: Computer Science Teachers, Postsecondary</t>
  </si>
  <si>
    <t>Converged Communications</t>
  </si>
  <si>
    <t>A program that focuses on the analysis and criticism of media institutions and media texts, how people experience and understand media content, and the roles of media in producing and transforming culture. Includes instruction in communications regulation, law, and policy; media history; media aesthetics, interpretation, and criticism; the social and cultural effects of mass media; cultural studies; the economics of media industries; visual and media literacy; and the psychology and behavioral aspects of media messages, interpretation, and utilization.</t>
  </si>
  <si>
    <t>11-2032: Public Relations Managers
25-1122: Communications Teachers, Postsecondary
27-3023: News Analysts, Reporters, and Journalists
27-3041: Editors
27-3043: Writers and Authors</t>
  </si>
  <si>
    <t>Digital Media</t>
  </si>
  <si>
    <t>A program that prepares individuals to use computer applications and related visual and sound imaging techniques to manipulate images and information originating as film, video, still photographs, digital copy, soundtracks, and physical objects in order to communicate messages simulating real-world content. Includes instruction in specialized camerawork and equipment operation and maintenance, image capture, computer programming, dubbing, CAD applications, and applications to specific commercial, industrial, and entertainment needs.</t>
  </si>
  <si>
    <t>27-1014: Special Effects Artists and Animators</t>
  </si>
  <si>
    <t>Early Childhood Education - Age Three Through Grade 3</t>
  </si>
  <si>
    <t>Financial Services</t>
  </si>
  <si>
    <t>A program that prepares individuals to perform a wide variety of customer services in banks, insurance agencies, savings and loan companies, and related enterprises. Includes instruction in communications and public relations skills, business equipment operation, and technical skills applicable to the methods and operations of specific financial or insurance services.</t>
  </si>
  <si>
    <t>13-2071: Credit Counselors
43-3011: Bill and Account Collectors
43-3071: Tellers
43-4041: Credit Authorizers, Checkers, and Clerks
43-4131: Loan Interviewers and Clerks
43-4141: New Accounts Clerks</t>
  </si>
  <si>
    <t>Human Services</t>
  </si>
  <si>
    <t>A program that focuses on the general study and provision of human and social services to individuals and communities and prepares individuals to work in public and private human services agencies and organizations. Includes instruction in the social sciences, psychology, principles of social service, human services policy, planning and evaluation, social services law and administration, and applications to particular issues, services, localities, and populations.</t>
  </si>
  <si>
    <t>11-9151: Social and Community Service Managers
21-1093: Social and Human Service Assistants
21-1099: Community and Social Service Specialists, All Other</t>
  </si>
  <si>
    <t>Information Technology Management</t>
  </si>
  <si>
    <t>Logistics</t>
  </si>
  <si>
    <t>Public Safety Management</t>
  </si>
  <si>
    <t>Gulf Coast State College</t>
  </si>
  <si>
    <t>Indian River State College</t>
  </si>
  <si>
    <t>Biology</t>
  </si>
  <si>
    <t>A general program of biology at the introductory, basic level or a program in biology or the biological sciences that is undifferentiated as to title or content. Includes instruction in general biology and programs covering a variety of biological specializations.</t>
  </si>
  <si>
    <t>11-9121: Natural Sciences Managers
19-1029: Biological Scientists, All Other
19-1099: Life Scientists, All Other
19-4012: Agricultural Technicians
19-4013: Food Science Technicians
19-4021: Biological Technicians
19-4092: Forensic Science Technicians
25-1042: Biological Science Teachers, Postsecondary
25-2031: Secondary School Teachers, Except Special and Career/Technical Education</t>
  </si>
  <si>
    <t>Criminal Justice</t>
  </si>
  <si>
    <t>A program that focuses on the criminal justice system, its organizational components and processes, and its legal and public policy contexts. Includes instruction in criminal law and policy, police and correctional systems organization, the administration of justice and the judiciary, and public attitudes regarding criminal justice issues.</t>
  </si>
  <si>
    <t>19-4099: Life, Physical, and Social Science Technicians, All Other
25-1111: Criminal Justice and Law Enforcement Teachers, Postsecondary
33-1011: First-Line Supervisors of Correctional Officers
33-1012: First-Line Supervisors of Police and Detectives</t>
  </si>
  <si>
    <t>Exceptional Student Education-with ESOL Endorsement</t>
  </si>
  <si>
    <t>Healthcare Management</t>
  </si>
  <si>
    <t>A program that prepares individuals to develop, plan, and manage health care operations and services within health care facilities and across health care systems. Includes instruction in planning, business management, financial management, public relations, human resources management, health care systems operation and management, health care resource allocation and policy making, health law and regulations, and applications to specific types of health care services.</t>
  </si>
  <si>
    <t xml:space="preserve">Information Technology and Security Management </t>
  </si>
  <si>
    <t>Public Administration</t>
  </si>
  <si>
    <t>A program that prepares individuals to serve as managers in the executive arm of local, state, and federal government and that focuses on the systematic study of executive organization and management. Includes instruction in the roles, development, and principles of public administration; the management of public policy; executive-legislative relations; public budgetary processes and financial management; administrative law; public personnel management; professional ethics; and research methods.</t>
  </si>
  <si>
    <t>11-1011: Chief Executives
11-1021: General and Operations Managers
11-1031: Legislators
11-3071: Transportation, Storage, and Distribution Managers
11-9131: Postmasters and Mail Superintendents
11-9151: Social and Community Service Managers
11-9199: Managers, All Other</t>
  </si>
  <si>
    <t>Lake-Sumter State College</t>
  </si>
  <si>
    <t>Miami Dade College</t>
  </si>
  <si>
    <t>Biological Sciences</t>
  </si>
  <si>
    <t>Cybersecurity</t>
  </si>
  <si>
    <t>A program that prepares individuals to assess the security needs of computer and network systems, recommend safeguard solutions, and manage the implementation, auditing, and maintenance of security devices, systems, and procedures. Includes instruction in computer architecture, programming, and systems analysis; networking; telecommunications; cryptography; security system auditing and design; applicable law and regulations; risk assessment and policy analysis; contingency planning; user access issues; investigation techniques; and troubleshooting. See also: 43.0403) Cyber/Computer Forensics and Counterterrorism.</t>
  </si>
  <si>
    <t>11-3021: Computer and Information Systems Managers
15-1212: Information Security Analysts
15-1231: Computer Network Support Specialists
15-1241: Computer Network Architects
15-1242: Database Administrators
15-1243: Database Architects
15-1244: Network and Computer Systems Administrators</t>
  </si>
  <si>
    <t>Data Analytics</t>
  </si>
  <si>
    <t>A general program that focuses on computing, computer science, and information science and systems. Such programs are undifferentiated as to title and content and are not to be confused with specific programs in computer science, information science, or related support services.</t>
  </si>
  <si>
    <t>11-3021: Computer and Information Systems Managers
15-1211: Computer Systems Analysts
15-1221: Computer and Information Research Scientists
15-1241: Computer Network Architects
15-1242: Database Administrators
15-1243: Database Architects
15-1244: Network and Computer Systems Administrators
15-1253: Software Quality Assurance Analysts and Testers
15-1255: Web and Digital Interface Designers
15-1299: Computer Occupations, All Other
25-1021: Computer Science Teachers, Postsecondary</t>
  </si>
  <si>
    <t>Early Childhood Education, Age 3 through Grade 3 and Birth through Age 4</t>
  </si>
  <si>
    <t>Electronics Engineering Technology</t>
  </si>
  <si>
    <t>A program that prepares individuals to apply basic engineering principles and technical skills in support of electrical, electronics and communication engineers. Includes instruction in electrical circuitry, prototype development and testing, systems analysis and testing, systems maintenance, instrument calibration, and report preparation. See also: 46.0302 Electrician.</t>
  </si>
  <si>
    <t>17-3012: Electrical and Electronics Drafters
17-3021: Aerospace Engineering and Operations Technologists and Technicians
17-3023: Electrical and Electronic Engineering Technologists and Technicians
17-3024: Electro-Mechanical and Mechatronics Technologists and Technicians
17-3028: Calibration Technologists and Technicians
49-2095: Electrical and Electronics Repairers, Powerhouse, Substation, and Relay</t>
  </si>
  <si>
    <t>Film, Television, and Digital Production</t>
  </si>
  <si>
    <t>A program that prepares individuals to communicate dramatic information, ideas, moods, and feelings through the making and producing of films and videos. Includes instruction in theory of film, film technology and equipment operation, film production, film directing, film editing, cinematographic art, film audio, techniques for making specific types of films and/or videos, media technologies, computer image making, multi-media production, and the planning and management of film/video operations.</t>
  </si>
  <si>
    <t>25-1121: Art, Drama, and Music Teachers, Postsecondary
27-2012: Producers and Directors
27-4031: Camera Operators, Television, Video, and Film
27-4032: Film and Video Editors</t>
  </si>
  <si>
    <t>Health Science with an Option in Physician Assistant Studies</t>
  </si>
  <si>
    <t>A general, introductory, undifferentiated, or joint program in health services occupations that prepares individuals for either entry into specialized training programs or for a variety of concentrations in the allied health area. Includes instruction in the basic sciences, research and clinical procedures, and aspects of the subject matter related to various health occupations.</t>
  </si>
  <si>
    <t>Information Systems Technology</t>
  </si>
  <si>
    <t>Secondary Earth Science Education</t>
  </si>
  <si>
    <t>North Florida College</t>
  </si>
  <si>
    <t>Northwest Florida State College</t>
  </si>
  <si>
    <t xml:space="preserve">Management and Supervision </t>
  </si>
  <si>
    <t>Project Management</t>
  </si>
  <si>
    <t>A program that prepares individuals to manage and/or administer the processes by which a firm or organization contracts for goods and services to support its operations, as well as contracts it to sell to other firms or organizations. Includes instruction in contract law, negotiations, buying procedures, government contracting, cost and price analysis, vendor relations, contract administration, auditing and inspection, relations with other firm departments, and applications to special areas such as high-technology systems, international purchasing, and construction.</t>
  </si>
  <si>
    <t>11-3012: Administrative Services Managers
11-3013: Facilities Managers
11-3061: Purchasing Managers
13-1011: Agents and Business Managers of Artists, Performers, and Athletes
13-1023: Purchasing Agents, Except Wholesale, Retail, and Farm Products
25-1011: Business Teachers, Postsecondary</t>
  </si>
  <si>
    <t>Palm Beach State College</t>
  </si>
  <si>
    <t>Information Management</t>
  </si>
  <si>
    <t xml:space="preserve">Pasco-Hernando State College </t>
  </si>
  <si>
    <t xml:space="preserve">Nursing </t>
  </si>
  <si>
    <t>Pensacola State College</t>
  </si>
  <si>
    <t>Administration and Supervision</t>
  </si>
  <si>
    <t>Polk State College</t>
  </si>
  <si>
    <t>Early Childhood Education</t>
  </si>
  <si>
    <t>A program that prepares individuals to teach adult students in various settings, including basic and remedial education programs, continuing education programs, and programs designed to develop or upgrade specific employment-related knowledge and skills.</t>
  </si>
  <si>
    <t>13-1151: Training and Development Specialists
25-3011: Adult Basic Education, Adult Secondary Education, and English as a Second Language Instructors
25-3021: Self-Enrichment Teachers</t>
  </si>
  <si>
    <t>Santa Fe College</t>
  </si>
  <si>
    <t>Clinical Laboratory Science</t>
  </si>
  <si>
    <t>A program that prepares individuals to conduct and supervise complex medical tests, clinical trials, and research experiments; manage clinical laboratories; and consult with physicians and clinical researchers on diagnoses, disease causation and spread, and research outcomes. Includes instruction in the theory and practice of hematology, clinical chemistry, microbiology, immunology, immunohematology, physiological relationships to test results, laboratory procedures and quality assurance controls, test and research design and implementation, analytic techniques, laboratory management, data development and reporting, medical informatics, and professional standards and regulations.</t>
  </si>
  <si>
    <t>25-1071: Health Specialties Teachers, Postsecondary
29-2011: Medical and Clinical Laboratory Technologists</t>
  </si>
  <si>
    <t>Health Services Administration</t>
  </si>
  <si>
    <t xml:space="preserve">Industrial Biotechnology </t>
  </si>
  <si>
    <t>A program that focuses on the application of the biological sciences, biochemistry, and genetics to the preparation of new and enhanced agricultural, environmental, clinical, and industrial products, including the commercial exploitation of microbes, plants, and animals. Includes instruction in bioinformatics, gene identification, phylogenetics and comparative genomics, bioinorganic chemistry, immunoassaying, DNA sequencing, xenotransplantation, genetic engineering, industrial microbiology, drug and biologic development, enzyme-based production processes, patent law, biotechnology management and marketing, applicable regulations, and biotechnology ethics.</t>
  </si>
  <si>
    <t>11-9121: Natural Sciences Managers
19-1029: Biological Scientists, All Other
25-1042: Biological Science Teachers, Postsecondary</t>
  </si>
  <si>
    <t>Multimedia and Video Production Technology</t>
  </si>
  <si>
    <t>Seminole State College of Florida</t>
  </si>
  <si>
    <t>Architectural Engineering Technology</t>
  </si>
  <si>
    <t>A program that prepares individuals to apply basic engineering principles and technical skills in support of architects, engineers and planners engaged in designing and developing buildings, urban complexes, and related systems. Includes instruction in design testing procedures, building site analysis, model building and computer graphics, engineering drawing, structural systems testing, analysis of prototype mechanical and interior systems, test equipment operation and maintenance, and report preparation.</t>
  </si>
  <si>
    <t>17-3011: Architectural and Civil Drafters
17-3022: Civil Engineering Technologists and Technicians
17-3029: Engineering Technologists and Technicians, Except Drafters, All Other</t>
  </si>
  <si>
    <t>Business and Information Management</t>
  </si>
  <si>
    <t>A program that generally prepares individuals to provide and manage data systems and related facilities for processing and retrieving internal business information; select systems and train personnel; and respond to external data requests. Includes instruction in cost and accounting information systems, management control systems, personnel information systems, data storage and security, business systems networking, report preparation, computer facilities and equipment operation and maintenance, operator supervision and training, and management information systems policy and planning. See also: 11.0401 Information Science/Studies.</t>
  </si>
  <si>
    <t>11-3021: Computer and Information Systems Managers
15-1243: Database Architects
15-1251: Computer Programmers
25-1021: Computer Science Teachers, Postsecondary</t>
  </si>
  <si>
    <t xml:space="preserve">Construction </t>
  </si>
  <si>
    <t>A program that prepares individuals to apply basic engineering principles and technical skills in support of engineers, engineering contractors and other professionals engaged in the construction of buildings and related structures. Includes instruction in basic structural engineering principles and construction techniques, building site inspection, site supervision, construction personnel supervision, plan and specification interpretation, supply logistics and procurement, applicable building codes, and report preparation.</t>
  </si>
  <si>
    <t>11-9021: Construction Managers
13-1051: Cost Estimators
17-3022: Civil Engineering Technologists and Technicians</t>
  </si>
  <si>
    <t>Health Sciences</t>
  </si>
  <si>
    <t>Interior Design</t>
  </si>
  <si>
    <t>A program in the applied visual arts that prepares individuals to apply artistic principles and techniques to the professional planning, designing, equipping, and furnishing of residential and commercial interior spaces. Includes instruction in computer applications, drafting, and graphic techniques; principles of interior lighting, acoustics, systems integration, and color coordination; furniture and furnishings; textiles and their finishing; the history of interior design and period styles; basic structural design; building codes and inspection regulations; and applications to office, hotel, factory, restaurant and housing design.</t>
  </si>
  <si>
    <t>25-1031: Architecture Teachers, Postsecondary
27-1025: Interior Designers</t>
  </si>
  <si>
    <t>South Florida State College</t>
  </si>
  <si>
    <t xml:space="preserve">St. Johns River State College </t>
  </si>
  <si>
    <t>Early Childhood Education, P-K through Grade 3</t>
  </si>
  <si>
    <t xml:space="preserve">Organizational Management </t>
  </si>
  <si>
    <t>St. Petersburg College</t>
  </si>
  <si>
    <t>Biology, General</t>
  </si>
  <si>
    <t xml:space="preserve">Business Administration </t>
  </si>
  <si>
    <t>Dental Hygiene</t>
  </si>
  <si>
    <t>A program that prepares individuals to clean teeth and apply preventive materials, provide oral health education and treatment counseling to patients, identify oral pathologies and injuries, and manage dental hygiene practices. Includes instruction in dental anatomy, microbiology, and pathology; dental hygiene theory and techniques; cleaning equipment operation and maintenance; dental materials; radiology; patient education and counseling; office management; supervised clinical training; and professional standards.</t>
  </si>
  <si>
    <t>25-1071: Health Specialties Teachers, Postsecondary
29-1292: Dental Hygienists</t>
  </si>
  <si>
    <t xml:space="preserve">Educational Studies - non-certification </t>
  </si>
  <si>
    <t xml:space="preserve">Any instructional program in education not defined in codes 13.0101 - 13.0701 and 13.0901 - 13.1599.
</t>
  </si>
  <si>
    <t>25-1081: Education Teachers, Postsecondary
25-3099: Teachers and Instructors, All Other</t>
  </si>
  <si>
    <t>Management and Organizational Leadership</t>
  </si>
  <si>
    <t>Paralegal Studies</t>
  </si>
  <si>
    <t>A program that prepares individuals to perform research, drafting, investigatory, record-keeping and related administrative functions under the supervision of an attorney or court. Includes instruction in legal research, drafting legal documents, appraising, pleading, courthouse procedures, and legal specializations.</t>
  </si>
  <si>
    <t>23-2011: Paralegals and Legal Assistants
23-2093: Title Examiners, Abstractors, and Searchers
23-2099: Legal Support Workers, All Other</t>
  </si>
  <si>
    <t>Public Policy and Administration</t>
  </si>
  <si>
    <t>Public Safety Administration</t>
  </si>
  <si>
    <t>Sustainability Management</t>
  </si>
  <si>
    <t xml:space="preserve">Any instructional program in environmental or natural resources management and policy not defined in codes 03.0201 and 03.0204 - 03.0210. 
</t>
  </si>
  <si>
    <t>25-1043: Forestry and Conservation Science Teachers, Postsecondary</t>
  </si>
  <si>
    <t>Veterinary Technology</t>
  </si>
  <si>
    <t>01.8301 (old: 51.0808)</t>
  </si>
  <si>
    <t>A program that prepares individuals, under the supervision of veterinarians, laboratory animal specialists, and zoological professionals, to provide patient management, care, and clinical procedures assistance as well as owner communication. Includes instruction in animal nursing care, animal health and nutrition, animal handling, clinical pathology, radiology, anesthesiology, dental prophylaxis, surgical assisting, clinical laboratory procedures, office administration skills, patient and owner management, and applicable standards and regulations.</t>
  </si>
  <si>
    <t>25-1071: Health Specialties Teachers, Postsecondary
29-2056: Veterinary Technologists and Technicians
31-9096: Veterinary Assistants and Laboratory Animal Caretakers</t>
  </si>
  <si>
    <t>State College of Florida, Manatee-Sarasota</t>
  </si>
  <si>
    <t>Early Childhood Education, Birth through Age 4</t>
  </si>
  <si>
    <t>Public Safety Administration/Homeland Security</t>
  </si>
  <si>
    <t>Tallahassee Community College</t>
  </si>
  <si>
    <t>Valencia College</t>
  </si>
  <si>
    <t>Business and Organizational Leadership</t>
  </si>
  <si>
    <t xml:space="preserve">Cardiopulmonary Sciences   </t>
  </si>
  <si>
    <t>Computing Technology &amp; Software Development</t>
  </si>
  <si>
    <t>Electrical and Computer Engineering Technology</t>
  </si>
  <si>
    <t>Radiologic and Imaging Sciences</t>
  </si>
  <si>
    <t>A program that prepares individuals to administer prescribed courses of radiation treatment, manage patients undergoing radiation therapy, and maintain pertinent records. Includes instruction in applied anatomy and physiology, oncologic pathology, radiation biology, radiation oncology procedures and techniques, radiation dosimetry, tumor localization, treatment planning, patient communication and management, data collection, record-keeping, and applicable standards and regulations.</t>
  </si>
  <si>
    <t>25-1071: Health Specialties Teachers, Postsecondary
29-1124: Radiation Therapists
29-2034: Radiologic Technologists and Technicians
29-2036: Medical Dosimetrists
29-2099: Health Technologists and Technicians, All Other</t>
  </si>
  <si>
    <t>NCES CIP 2010 to CIP 2020 Crosswalk</t>
  </si>
  <si>
    <t>2010 CIP Code</t>
  </si>
  <si>
    <t>2010 CIP Code 2</t>
  </si>
  <si>
    <t>2010 CIP Title</t>
  </si>
  <si>
    <t>Action</t>
  </si>
  <si>
    <t>Text change</t>
  </si>
  <si>
    <t>2020 CIP Code</t>
  </si>
  <si>
    <t>2020 CIP Title</t>
  </si>
  <si>
    <t>01.0000</t>
  </si>
  <si>
    <t>Agriculture, General.</t>
  </si>
  <si>
    <t>No substantive changes</t>
  </si>
  <si>
    <t>No</t>
  </si>
  <si>
    <t>01.0101</t>
  </si>
  <si>
    <t>Agricultural Business and Management, General.</t>
  </si>
  <si>
    <t>01.0102</t>
  </si>
  <si>
    <t>Agribusiness/Agricultural Business Operations.</t>
  </si>
  <si>
    <t>01.0103</t>
  </si>
  <si>
    <t>Agricultural Economics.</t>
  </si>
  <si>
    <t>01.0104</t>
  </si>
  <si>
    <t>Farm/Farm and Ranch Management.</t>
  </si>
  <si>
    <t>01.0105</t>
  </si>
  <si>
    <t>Agricultural/Farm Supplies Retailing and Wholesaling.</t>
  </si>
  <si>
    <t>01.0106</t>
  </si>
  <si>
    <t>Agricultural Business Technology.</t>
  </si>
  <si>
    <t>Yes</t>
  </si>
  <si>
    <t>Agricultural Business Technology/Technician.</t>
  </si>
  <si>
    <t>01.0199</t>
  </si>
  <si>
    <t>Agricultural Business and Management, Other.</t>
  </si>
  <si>
    <t>01.0201</t>
  </si>
  <si>
    <t>Agricultural Mechanization, General.</t>
  </si>
  <si>
    <t>01.0204</t>
  </si>
  <si>
    <t>Agricultural Power Machinery Operation.</t>
  </si>
  <si>
    <t>01.0205</t>
  </si>
  <si>
    <t>Agricultural Mechanics and Equipment/Machine Technology.</t>
  </si>
  <si>
    <t>Agricultural Mechanics and Equipment/Machine Technology/Technician.</t>
  </si>
  <si>
    <t>New</t>
  </si>
  <si>
    <t>Irrigation Management Technology/Technician.</t>
  </si>
  <si>
    <t>01.0299</t>
  </si>
  <si>
    <t>Agricultural Mechanization, Other.</t>
  </si>
  <si>
    <t>01.0301</t>
  </si>
  <si>
    <t>Agricultural Production Operations, General.</t>
  </si>
  <si>
    <t>01.0302</t>
  </si>
  <si>
    <t>Animal/Livestock Husbandry and Production.</t>
  </si>
  <si>
    <t>01.0303</t>
  </si>
  <si>
    <t>Aquaculture.</t>
  </si>
  <si>
    <t>01.0304</t>
  </si>
  <si>
    <t>Crop Production.</t>
  </si>
  <si>
    <t>01.0306</t>
  </si>
  <si>
    <t>Dairy Husbandry and Production.</t>
  </si>
  <si>
    <t>01.0307</t>
  </si>
  <si>
    <t>Horse Husbandry/Equine Science and Management.</t>
  </si>
  <si>
    <t>01.0308</t>
  </si>
  <si>
    <t>Agroecology and Sustainable Agriculture.</t>
  </si>
  <si>
    <t>01.0309</t>
  </si>
  <si>
    <t>Viticulture and Enology.</t>
  </si>
  <si>
    <t>Moved to</t>
  </si>
  <si>
    <t>Apiculture.</t>
  </si>
  <si>
    <t>01.0399</t>
  </si>
  <si>
    <t>Agricultural Production Operations, Other.</t>
  </si>
  <si>
    <t>01.0401</t>
  </si>
  <si>
    <t>Agricultural and Food Products Processing.</t>
  </si>
  <si>
    <t>Reserved.</t>
  </si>
  <si>
    <t>01.0504</t>
  </si>
  <si>
    <t>Dog/Pet/Animal Grooming.</t>
  </si>
  <si>
    <t>01.0505</t>
  </si>
  <si>
    <t>Animal Training.</t>
  </si>
  <si>
    <t>01.0507</t>
  </si>
  <si>
    <t>Equestrian/Equine Studies.</t>
  </si>
  <si>
    <t>01.0508</t>
  </si>
  <si>
    <t>Taxidermy/Taxidermist.</t>
  </si>
  <si>
    <t>Farrier Science.</t>
  </si>
  <si>
    <t>01.0599</t>
  </si>
  <si>
    <t>Agricultural and Domestic Animal Services, Other.</t>
  </si>
  <si>
    <t>01.0601</t>
  </si>
  <si>
    <t>Applied Horticulture/Horticulture Operations, General.</t>
  </si>
  <si>
    <t>01.0603</t>
  </si>
  <si>
    <t>Ornamental Horticulture.</t>
  </si>
  <si>
    <t>01.0604</t>
  </si>
  <si>
    <t>Greenhouse Operations and Management.</t>
  </si>
  <si>
    <t>01.0605</t>
  </si>
  <si>
    <t>Landscaping and Groundskeeping.</t>
  </si>
  <si>
    <t>01.0606</t>
  </si>
  <si>
    <t>Plant Nursery Operations and Management.</t>
  </si>
  <si>
    <t>01.0607</t>
  </si>
  <si>
    <t>Turf and Turfgrass Management.</t>
  </si>
  <si>
    <t>01.0608</t>
  </si>
  <si>
    <t>Floriculture/Floristry Operations and Management.</t>
  </si>
  <si>
    <t>Public Horticulture.</t>
  </si>
  <si>
    <t>Urban and Community Horticulture.</t>
  </si>
  <si>
    <t>01.0699</t>
  </si>
  <si>
    <t>Applied Horticulture/Horticultural Business Services, Other.</t>
  </si>
  <si>
    <t>01.0701</t>
  </si>
  <si>
    <t>International Agriculture.</t>
  </si>
  <si>
    <t>01.0801</t>
  </si>
  <si>
    <t>Agricultural and Extension Education Services.</t>
  </si>
  <si>
    <t>01.0802</t>
  </si>
  <si>
    <t>Agricultural Communication/Journalism.</t>
  </si>
  <si>
    <t>01.0899</t>
  </si>
  <si>
    <t>Agricultural Public Services, Other.</t>
  </si>
  <si>
    <t>01.0901</t>
  </si>
  <si>
    <t>Animal Sciences, General.</t>
  </si>
  <si>
    <t>01.0902</t>
  </si>
  <si>
    <t>Agricultural Animal Breeding.</t>
  </si>
  <si>
    <t>01.0903</t>
  </si>
  <si>
    <t>Animal Health.</t>
  </si>
  <si>
    <t>01.0904</t>
  </si>
  <si>
    <t>Animal Nutrition.</t>
  </si>
  <si>
    <t>01.0905</t>
  </si>
  <si>
    <t>Dairy Science.</t>
  </si>
  <si>
    <t>01.0906</t>
  </si>
  <si>
    <t>Livestock Management.</t>
  </si>
  <si>
    <t>01.0907</t>
  </si>
  <si>
    <t>Poultry Science.</t>
  </si>
  <si>
    <t>01.0999</t>
  </si>
  <si>
    <t>Animal Sciences, Other.</t>
  </si>
  <si>
    <t>01.1001</t>
  </si>
  <si>
    <t>Food Science.</t>
  </si>
  <si>
    <t>01.1002</t>
  </si>
  <si>
    <t>Food Technology and Processing.</t>
  </si>
  <si>
    <t>Brewing Science.</t>
  </si>
  <si>
    <t>Zymology/Fermentation Science.</t>
  </si>
  <si>
    <t>01.1099</t>
  </si>
  <si>
    <t>Food Science and Technology, Other.</t>
  </si>
  <si>
    <t>01.1101</t>
  </si>
  <si>
    <t>Plant Sciences, General.</t>
  </si>
  <si>
    <t>01.1102</t>
  </si>
  <si>
    <t>Agronomy and Crop Science.</t>
  </si>
  <si>
    <t>01.1103</t>
  </si>
  <si>
    <t>Horticultural Science.</t>
  </si>
  <si>
    <t>01.1104</t>
  </si>
  <si>
    <t>Agricultural and Horticultural Plant Breeding.</t>
  </si>
  <si>
    <t>01.1105</t>
  </si>
  <si>
    <t>Plant Protection and Integrated Pest Management.</t>
  </si>
  <si>
    <t>01.1106</t>
  </si>
  <si>
    <t>Range Science and Management.</t>
  </si>
  <si>
    <t>01.1199</t>
  </si>
  <si>
    <t>Plant Sciences, Other.</t>
  </si>
  <si>
    <t>01.1201</t>
  </si>
  <si>
    <t>Soil Science and Agronomy, General.</t>
  </si>
  <si>
    <t>01.1202</t>
  </si>
  <si>
    <t>Soil Chemistry and Physics.</t>
  </si>
  <si>
    <t>01.1203</t>
  </si>
  <si>
    <t>Soil Microbiology.</t>
  </si>
  <si>
    <t>01.1299</t>
  </si>
  <si>
    <t>Soil Sciences, Other.</t>
  </si>
  <si>
    <t>Agriculture/Veterinary Preparatory Programs, Other.</t>
  </si>
  <si>
    <t>Veterinary Administrative Services, General.</t>
  </si>
  <si>
    <t>Veterinary Office Management/Administration.</t>
  </si>
  <si>
    <t>Veterinary Reception/Receptionist.</t>
  </si>
  <si>
    <t>Veterinary Administrative/Executive Assistant and Veterinary Secretary.</t>
  </si>
  <si>
    <t>Veterinary Administrative Services, Other.</t>
  </si>
  <si>
    <t>Veterinary/Animal Health Technologies/Technicians, Other.</t>
  </si>
  <si>
    <t>01.9999</t>
  </si>
  <si>
    <t>Agriculture, Agriculture Operations, and Related Sciences, Other.</t>
  </si>
  <si>
    <t>Agricultural/Animal/Plant/Veterinary Science and Related Fields, Other.</t>
  </si>
  <si>
    <t>03.0101</t>
  </si>
  <si>
    <t>Natural Resources/Conservation, General.</t>
  </si>
  <si>
    <t>03.0103</t>
  </si>
  <si>
    <t>Environmental Studies.</t>
  </si>
  <si>
    <t>03.0104</t>
  </si>
  <si>
    <t>Environmental Science.</t>
  </si>
  <si>
    <t>03.0199</t>
  </si>
  <si>
    <t>Natural Resources Conservation and Research, Other.</t>
  </si>
  <si>
    <t>03.0201</t>
  </si>
  <si>
    <t>Natural Resources Management and Policy.</t>
  </si>
  <si>
    <t>Environmental/Natural Resources Management and Policy, General.</t>
  </si>
  <si>
    <t>03.0204</t>
  </si>
  <si>
    <t>Natural Resource Economics.</t>
  </si>
  <si>
    <t>Environmental/Natural Resource Economics.</t>
  </si>
  <si>
    <t>03.0205</t>
  </si>
  <si>
    <t>Water, Wetlands, and Marine Resources Management.</t>
  </si>
  <si>
    <t>03.0206</t>
  </si>
  <si>
    <t>Land Use Planning and Management/Development.</t>
  </si>
  <si>
    <t>03.0207</t>
  </si>
  <si>
    <t>Natural Resource Recreation and Tourism.</t>
  </si>
  <si>
    <t>Environmental/Natural Resource Recreation and Tourism.</t>
  </si>
  <si>
    <t>03.0208</t>
  </si>
  <si>
    <t>Natural Resources Law Enforcement and Protective Services.</t>
  </si>
  <si>
    <t>Environmental/Natural Resources Law Enforcement and Protective Services.</t>
  </si>
  <si>
    <t>Energy and Environmental Policy.</t>
  </si>
  <si>
    <t>Bioenergy.</t>
  </si>
  <si>
    <t>03.0299</t>
  </si>
  <si>
    <t>Natural Resources Management and Policy, Other.</t>
  </si>
  <si>
    <t>Environmental/Natural Resources Management and Policy, Other.</t>
  </si>
  <si>
    <t>03.0301</t>
  </si>
  <si>
    <t>Fishing and Fisheries Sciences and Management.</t>
  </si>
  <si>
    <t>03.0501</t>
  </si>
  <si>
    <t>Forestry, General.</t>
  </si>
  <si>
    <t>03.0502</t>
  </si>
  <si>
    <t>Forest Sciences and Biology.</t>
  </si>
  <si>
    <t>03.0506</t>
  </si>
  <si>
    <t>Forest Management/Forest Resources Management.</t>
  </si>
  <si>
    <t>03.0508</t>
  </si>
  <si>
    <t>Urban Forestry.</t>
  </si>
  <si>
    <t>03.0509</t>
  </si>
  <si>
    <t>Wood Science and Wood Products/Pulp and Paper Technology.</t>
  </si>
  <si>
    <t>Wood Science and Wood Products/Pulp and Paper Technology/Technician.</t>
  </si>
  <si>
    <t>03.0510</t>
  </si>
  <si>
    <t>Forest Resources Production and Management.</t>
  </si>
  <si>
    <t>03.0511</t>
  </si>
  <si>
    <t>Forest Technology/Technician.</t>
  </si>
  <si>
    <t>03.0599</t>
  </si>
  <si>
    <t>Forestry, Other.</t>
  </si>
  <si>
    <t>03.0601</t>
  </si>
  <si>
    <t>Wildlife, Fish and Wildlands Science and Management.</t>
  </si>
  <si>
    <t>03.9999</t>
  </si>
  <si>
    <t>Natural Resources and Conservation, Other.</t>
  </si>
  <si>
    <t>Pre-Architecture Studies.</t>
  </si>
  <si>
    <t>04.0201</t>
  </si>
  <si>
    <t>Architecture.</t>
  </si>
  <si>
    <t>Architectural Design.</t>
  </si>
  <si>
    <t>Architecture, Other.</t>
  </si>
  <si>
    <t>04.0301</t>
  </si>
  <si>
    <t>City/Urban, Community and Regional Planning.</t>
  </si>
  <si>
    <t>City/Urban, Community, and Regional Planning.</t>
  </si>
  <si>
    <t>04.0401</t>
  </si>
  <si>
    <t>Environmental Design/Architecture.</t>
  </si>
  <si>
    <t>Healthcare Environment Design/Architecture.</t>
  </si>
  <si>
    <t>Sustainable Design/Architecture.</t>
  </si>
  <si>
    <t>Environmental Design, Other.</t>
  </si>
  <si>
    <t>04.0501</t>
  </si>
  <si>
    <t>Interior Architecture.</t>
  </si>
  <si>
    <t>04.0601</t>
  </si>
  <si>
    <t>Landscape Architecture.</t>
  </si>
  <si>
    <t>04.0801</t>
  </si>
  <si>
    <t>Architectural History and Criticism, General.</t>
  </si>
  <si>
    <t>Architectural Conservation.</t>
  </si>
  <si>
    <t>Architectural Studies.</t>
  </si>
  <si>
    <t>Architectural History, Criticism, and Conservation, Other.</t>
  </si>
  <si>
    <t>04.0901</t>
  </si>
  <si>
    <t>Architectural Technology/Technician.</t>
  </si>
  <si>
    <t>04.0902</t>
  </si>
  <si>
    <t>Architectural and Building Sciences/Technology.</t>
  </si>
  <si>
    <t>04.0999</t>
  </si>
  <si>
    <t>Architectural Sciences and Technology, Other.</t>
  </si>
  <si>
    <t>04.1001</t>
  </si>
  <si>
    <t>Real Estate Development.</t>
  </si>
  <si>
    <t>04.9999</t>
  </si>
  <si>
    <t>Architecture and Related Services, Other.</t>
  </si>
  <si>
    <t>05.0101</t>
  </si>
  <si>
    <t>African Studies.</t>
  </si>
  <si>
    <t>05.0102</t>
  </si>
  <si>
    <t>American/United States Studies/Civilization.</t>
  </si>
  <si>
    <t>05.0103</t>
  </si>
  <si>
    <t>Asian Studies/Civilization.</t>
  </si>
  <si>
    <t>05.0104</t>
  </si>
  <si>
    <t>East Asian Studies.</t>
  </si>
  <si>
    <t>05.0105</t>
  </si>
  <si>
    <t>Russian, Central European, East European and Eurasian Studies.</t>
  </si>
  <si>
    <t>05.0106</t>
  </si>
  <si>
    <t>European Studies/Civilization.</t>
  </si>
  <si>
    <t>05.0107</t>
  </si>
  <si>
    <t>Latin American Studies.</t>
  </si>
  <si>
    <t>05.0108</t>
  </si>
  <si>
    <t>Near and Middle Eastern Studies.</t>
  </si>
  <si>
    <t>05.0109</t>
  </si>
  <si>
    <t>Pacific Area/Pacific Rim Studies.</t>
  </si>
  <si>
    <t>05.0110</t>
  </si>
  <si>
    <t>Russian Studies.</t>
  </si>
  <si>
    <t>05.0111</t>
  </si>
  <si>
    <t>Scandinavian Studies.</t>
  </si>
  <si>
    <t>05.0112</t>
  </si>
  <si>
    <t>South Asian Studies.</t>
  </si>
  <si>
    <t>05.0113</t>
  </si>
  <si>
    <t>Southeast Asian Studies.</t>
  </si>
  <si>
    <t>05.0114</t>
  </si>
  <si>
    <t>Western European Studies.</t>
  </si>
  <si>
    <t>05.0115</t>
  </si>
  <si>
    <t>Canadian Studies.</t>
  </si>
  <si>
    <t>05.0116</t>
  </si>
  <si>
    <t>Balkans Studies.</t>
  </si>
  <si>
    <t>05.0117</t>
  </si>
  <si>
    <t>Baltic Studies.</t>
  </si>
  <si>
    <t>05.0118</t>
  </si>
  <si>
    <t>Slavic Studies.</t>
  </si>
  <si>
    <t>05.0119</t>
  </si>
  <si>
    <t>Caribbean Studies.</t>
  </si>
  <si>
    <t>05.0120</t>
  </si>
  <si>
    <t>Ural-Altaic and Central Asian Studies.</t>
  </si>
  <si>
    <t>05.0121</t>
  </si>
  <si>
    <t>Commonwealth Studies.</t>
  </si>
  <si>
    <t>05.0122</t>
  </si>
  <si>
    <t>Regional Studies (U.S., Canadian, Foreign)</t>
  </si>
  <si>
    <t>Regional Studies (U.S., Canadian, Foreign).</t>
  </si>
  <si>
    <t>05.0123</t>
  </si>
  <si>
    <t>Chinese Studies.</t>
  </si>
  <si>
    <t>05.0124</t>
  </si>
  <si>
    <t>French Studies.</t>
  </si>
  <si>
    <t>05.0125</t>
  </si>
  <si>
    <t>German Studies.</t>
  </si>
  <si>
    <t>05.0126</t>
  </si>
  <si>
    <t>Italian Studies.</t>
  </si>
  <si>
    <t>05.0127</t>
  </si>
  <si>
    <t>Japanese Studies.</t>
  </si>
  <si>
    <t>05.0128</t>
  </si>
  <si>
    <t>Korean Studies.</t>
  </si>
  <si>
    <t>05.0129</t>
  </si>
  <si>
    <t>Polish Studies.</t>
  </si>
  <si>
    <t>05.0130</t>
  </si>
  <si>
    <t>Spanish and Iberian Studies.</t>
  </si>
  <si>
    <t>05.0131</t>
  </si>
  <si>
    <t>Tibetan Studies.</t>
  </si>
  <si>
    <t>05.0132</t>
  </si>
  <si>
    <t>Ukraine Studies.</t>
  </si>
  <si>
    <t>05.0133</t>
  </si>
  <si>
    <t>Irish Studies.</t>
  </si>
  <si>
    <t>05.0134</t>
  </si>
  <si>
    <t>Latin American and Caribbean Studies.</t>
  </si>
  <si>
    <t>Appalachian Studies.</t>
  </si>
  <si>
    <t>Arctic Studies.</t>
  </si>
  <si>
    <t>05.0199</t>
  </si>
  <si>
    <t>Area Studies, Other.</t>
  </si>
  <si>
    <t>05.0200</t>
  </si>
  <si>
    <t>Ethnic Studies.</t>
  </si>
  <si>
    <t>05.0201</t>
  </si>
  <si>
    <t>African-American/Black Studies.</t>
  </si>
  <si>
    <t>05.0202</t>
  </si>
  <si>
    <t>American Indian/Native American Studies.</t>
  </si>
  <si>
    <t>05.0203</t>
  </si>
  <si>
    <t>Hispanic-American, Puerto Rican, and Mexican-American/Chicano Studies.</t>
  </si>
  <si>
    <t>05.0206</t>
  </si>
  <si>
    <t>Asian-American Studies.</t>
  </si>
  <si>
    <t>05.0207</t>
  </si>
  <si>
    <t>Women&amp;#39;s Studies.</t>
  </si>
  <si>
    <t>05.0208</t>
  </si>
  <si>
    <t>Gay/Lesbian Studies.</t>
  </si>
  <si>
    <t>05.0209</t>
  </si>
  <si>
    <t>Folklore Studies.</t>
  </si>
  <si>
    <t>05.0210</t>
  </si>
  <si>
    <t>Disability Studies.</t>
  </si>
  <si>
    <t>05.0211</t>
  </si>
  <si>
    <t>Deaf Studies.</t>
  </si>
  <si>
    <t>Comparative Group Studies.</t>
  </si>
  <si>
    <t>05.0299</t>
  </si>
  <si>
    <t>Ethnic, Cultural Minority, Gender, and Group Studies, Other.</t>
  </si>
  <si>
    <t>Area, Ethnic, Cultural, Gender, and Group Studies, Other.</t>
  </si>
  <si>
    <t>09.0100</t>
  </si>
  <si>
    <t>Communication, General.</t>
  </si>
  <si>
    <t>09.0101</t>
  </si>
  <si>
    <t>Speech Communication and Rhetoric.</t>
  </si>
  <si>
    <t>09.0102</t>
  </si>
  <si>
    <t>Mass Communication/Media Studies.</t>
  </si>
  <si>
    <t>09.0199</t>
  </si>
  <si>
    <t>Communication and Media Studies, Other.</t>
  </si>
  <si>
    <t>09.0401</t>
  </si>
  <si>
    <t>Journalism.</t>
  </si>
  <si>
    <t>09.0402</t>
  </si>
  <si>
    <t>Broadcast Journalism.</t>
  </si>
  <si>
    <t>09.0404</t>
  </si>
  <si>
    <t>Photojournalism.</t>
  </si>
  <si>
    <t>Business and Economic Journalism.</t>
  </si>
  <si>
    <t>Cultural Journalism.</t>
  </si>
  <si>
    <t>Science/Health/Environmental Journalism.</t>
  </si>
  <si>
    <t>09.0499</t>
  </si>
  <si>
    <t>Journalism, Other.</t>
  </si>
  <si>
    <t>09.0701</t>
  </si>
  <si>
    <t>Radio and Television.</t>
  </si>
  <si>
    <t>09.0702</t>
  </si>
  <si>
    <t>Digital Communication and Media/Multimedia.</t>
  </si>
  <si>
    <t>09.0799</t>
  </si>
  <si>
    <t>Radio, Television, and Digital Communication, Other.</t>
  </si>
  <si>
    <t>09.0900</t>
  </si>
  <si>
    <t>Public Relations, Advertising, and Applied Communication.</t>
  </si>
  <si>
    <t>09.0901</t>
  </si>
  <si>
    <t>Organizational Communication, General.</t>
  </si>
  <si>
    <t>09.0902</t>
  </si>
  <si>
    <t>Public Relations/Image Management.</t>
  </si>
  <si>
    <t>09.0903</t>
  </si>
  <si>
    <t>Advertising.</t>
  </si>
  <si>
    <t>09.0904</t>
  </si>
  <si>
    <t>Political Communication.</t>
  </si>
  <si>
    <t>09.0905</t>
  </si>
  <si>
    <t>Health Communication.</t>
  </si>
  <si>
    <t>09.0906</t>
  </si>
  <si>
    <t>Sports Communication.</t>
  </si>
  <si>
    <t>09.0907</t>
  </si>
  <si>
    <t>International and Intercultural Communication.</t>
  </si>
  <si>
    <t>09.0908</t>
  </si>
  <si>
    <t>Technical and Scientific Communication.</t>
  </si>
  <si>
    <t>Communication Management and Strategic Communications.</t>
  </si>
  <si>
    <t>09.0999</t>
  </si>
  <si>
    <t>Public Relations, Advertising, and Applied Communication, Other</t>
  </si>
  <si>
    <t>Public Relations, Advertising, and Applied Communication, Other.</t>
  </si>
  <si>
    <t>09.1001</t>
  </si>
  <si>
    <t>Publishing.</t>
  </si>
  <si>
    <t>09.9999</t>
  </si>
  <si>
    <t>Communication, Journalism, and Related Programs, Other.</t>
  </si>
  <si>
    <t>10.0105</t>
  </si>
  <si>
    <t>Communications Technology/Technician.</t>
  </si>
  <si>
    <t>10.0201</t>
  </si>
  <si>
    <t>Photographic and Film/Video Technology/Technician and Assistant.</t>
  </si>
  <si>
    <t>Photographic and Film/Video Technology/Technician.</t>
  </si>
  <si>
    <t>10.0202</t>
  </si>
  <si>
    <t>Radio and Television Broadcasting Technology/Technician.</t>
  </si>
  <si>
    <t>10.0203</t>
  </si>
  <si>
    <t>Recording Arts Technology/Technician.</t>
  </si>
  <si>
    <t>Voice Writing Technology/Technician.</t>
  </si>
  <si>
    <t>10.0299</t>
  </si>
  <si>
    <t>Audiovisual Communications Technologies/Technicians, Other.</t>
  </si>
  <si>
    <t>10.0301</t>
  </si>
  <si>
    <t>Graphic Communications, General.</t>
  </si>
  <si>
    <t>10.0302</t>
  </si>
  <si>
    <t>Printing Management.</t>
  </si>
  <si>
    <t>10.0303</t>
  </si>
  <si>
    <t>Prepress/Desktop Publishing and Digital Imaging Design.</t>
  </si>
  <si>
    <t>10.0304</t>
  </si>
  <si>
    <t>Animation, Interactive Technology, Video Graphics and Special Effects.</t>
  </si>
  <si>
    <t>Animation, Interactive Technology, Video Graphics, and Special Effects.</t>
  </si>
  <si>
    <t>10.0305</t>
  </si>
  <si>
    <t>Graphic and Printing Equipment Operator, General Production.</t>
  </si>
  <si>
    <t>10.0306</t>
  </si>
  <si>
    <t>Platemaker/Imager.</t>
  </si>
  <si>
    <t>10.0307</t>
  </si>
  <si>
    <t>Printing Press Operator.</t>
  </si>
  <si>
    <t>10.0308</t>
  </si>
  <si>
    <t>Computer Typography and Composition Equipment Operator.</t>
  </si>
  <si>
    <t>10.0399</t>
  </si>
  <si>
    <t>Graphic Communications, Other.</t>
  </si>
  <si>
    <t>10.9999</t>
  </si>
  <si>
    <t>Communications Technologies/Technicians and Support Services, Other.</t>
  </si>
  <si>
    <t>11.0101</t>
  </si>
  <si>
    <t>Computer and Information Sciences, General.</t>
  </si>
  <si>
    <t>11.0102</t>
  </si>
  <si>
    <t>Artificial Intelligence.</t>
  </si>
  <si>
    <t>11.0103</t>
  </si>
  <si>
    <t>Information Technology.</t>
  </si>
  <si>
    <t>11.0104</t>
  </si>
  <si>
    <t>Informatics.</t>
  </si>
  <si>
    <t>Human-Centered Technology Design.</t>
  </si>
  <si>
    <t>11.0199</t>
  </si>
  <si>
    <t>Computer and Information Sciences,  Other.</t>
  </si>
  <si>
    <t>11.0201</t>
  </si>
  <si>
    <t>Computer Programming/Programmer, General.</t>
  </si>
  <si>
    <t>11.0202</t>
  </si>
  <si>
    <t>Computer Programming, Specific Applications.</t>
  </si>
  <si>
    <t>11.0203</t>
  </si>
  <si>
    <t>Computer Programming, Vendor/Product Certification.</t>
  </si>
  <si>
    <t>Computer Game Programming.</t>
  </si>
  <si>
    <t>Computer Programming, Specific Platforms.</t>
  </si>
  <si>
    <t>11.0299</t>
  </si>
  <si>
    <t>Computer Programming, Other.</t>
  </si>
  <si>
    <t>11.0301</t>
  </si>
  <si>
    <t>Data Processing and Data Processing Technology/Technician.</t>
  </si>
  <si>
    <t>11.0401</t>
  </si>
  <si>
    <t>Information Science/Studies.</t>
  </si>
  <si>
    <t>11.0501</t>
  </si>
  <si>
    <t>Computer Systems Analysis/Analyst.</t>
  </si>
  <si>
    <t>11.0601</t>
  </si>
  <si>
    <t>Data Entry/Microcomputer Applications, General.</t>
  </si>
  <si>
    <t>11.0602</t>
  </si>
  <si>
    <t>Word Processing.</t>
  </si>
  <si>
    <t>11.0699</t>
  </si>
  <si>
    <t>Data Entry/Microcomputer Applications, Other.</t>
  </si>
  <si>
    <t>11.0701</t>
  </si>
  <si>
    <t>Computer Science.</t>
  </si>
  <si>
    <t>11.0801</t>
  </si>
  <si>
    <t>Web Page, Digital/Multimedia and Information Resources Design.</t>
  </si>
  <si>
    <t>11.0802</t>
  </si>
  <si>
    <t>Data Modeling/Warehousing and Database Administration.</t>
  </si>
  <si>
    <t>11.0803</t>
  </si>
  <si>
    <t>Computer Graphics.</t>
  </si>
  <si>
    <t>11.0804</t>
  </si>
  <si>
    <t>Modeling, Virtual Environments and Simulation.</t>
  </si>
  <si>
    <t>11.0899</t>
  </si>
  <si>
    <t>Computer Software and Media Applications, Other.</t>
  </si>
  <si>
    <t>11.0901</t>
  </si>
  <si>
    <t>Computer Systems Networking and Telecommunications.</t>
  </si>
  <si>
    <t>Cloud Computing.</t>
  </si>
  <si>
    <t>Computer Systems Networking and Telecommunications, Other.</t>
  </si>
  <si>
    <t>11.1001</t>
  </si>
  <si>
    <t>Network and System Administration/Administrator.</t>
  </si>
  <si>
    <t>11.1002</t>
  </si>
  <si>
    <t>System, Networking, and LAN/WAN Management/Manager.</t>
  </si>
  <si>
    <t>11.1003</t>
  </si>
  <si>
    <t>Computer and Information Systems Security/Information Assurance.</t>
  </si>
  <si>
    <t>Computer and Information Systems Security/Auditing/Information Assurance.</t>
  </si>
  <si>
    <t>11.1004</t>
  </si>
  <si>
    <t>Web/Multimedia Management and Webmaster.</t>
  </si>
  <si>
    <t>11.1005</t>
  </si>
  <si>
    <t>Information Technology Project Management.</t>
  </si>
  <si>
    <t>11.1006</t>
  </si>
  <si>
    <t>Computer Support Specialist.</t>
  </si>
  <si>
    <t>11.1099</t>
  </si>
  <si>
    <t>Computer/Information Technology Services Administration and Management, Other.</t>
  </si>
  <si>
    <t>11.9999</t>
  </si>
  <si>
    <t>Computer and Information Sciences and Support Services, Other.</t>
  </si>
  <si>
    <t>12.0301</t>
  </si>
  <si>
    <t>Funeral Service and Mortuary Science, General.</t>
  </si>
  <si>
    <t>12.0302</t>
  </si>
  <si>
    <t>Funeral Direction/Service.</t>
  </si>
  <si>
    <t>12.0303</t>
  </si>
  <si>
    <t>Mortuary Science and Embalming/Embalmer.</t>
  </si>
  <si>
    <t>12.0399</t>
  </si>
  <si>
    <t>Funeral Service and Mortuary Science, Other.</t>
  </si>
  <si>
    <t>12.0401</t>
  </si>
  <si>
    <t>Cosmetology/Cosmetologist, General.</t>
  </si>
  <si>
    <t>12.0402</t>
  </si>
  <si>
    <t>Barbering/Barber.</t>
  </si>
  <si>
    <t>12.0404</t>
  </si>
  <si>
    <t>Electrolysis/Electrology and Electrolysis Technician.</t>
  </si>
  <si>
    <t>12.0406</t>
  </si>
  <si>
    <t>Make-Up Artist/Specialist.</t>
  </si>
  <si>
    <t>12.0407</t>
  </si>
  <si>
    <t>Hair Styling/Stylist and Hair Design.</t>
  </si>
  <si>
    <t>12.0408</t>
  </si>
  <si>
    <t>Facial Treatment Specialist/Facialist.</t>
  </si>
  <si>
    <t>12.0409</t>
  </si>
  <si>
    <t>Aesthetician/Esthetician and Skin Care Specialist.</t>
  </si>
  <si>
    <t>12.0410</t>
  </si>
  <si>
    <t>Nail Technician/Specialist and Manicurist.</t>
  </si>
  <si>
    <t>12.0411</t>
  </si>
  <si>
    <t>Permanent Cosmetics/Makeup and Tattooing.</t>
  </si>
  <si>
    <t>12.0412</t>
  </si>
  <si>
    <t>Salon/Beauty Salon Management/Manager.</t>
  </si>
  <si>
    <t>12.0413</t>
  </si>
  <si>
    <t>Cosmetology, Barber/Styling, and Nail Instructor.</t>
  </si>
  <si>
    <t>12.0414</t>
  </si>
  <si>
    <t>Master Aesthetician/Esthetician.</t>
  </si>
  <si>
    <t>12.0499</t>
  </si>
  <si>
    <t>Cosmetology and Related Personal Grooming Arts, Other.</t>
  </si>
  <si>
    <t>12.0500</t>
  </si>
  <si>
    <t>Cooking and Related Culinary Arts, General.</t>
  </si>
  <si>
    <t>12.0501</t>
  </si>
  <si>
    <t>Baking and Pastry Arts/Baker/Pastry Chef.</t>
  </si>
  <si>
    <t>12.0502</t>
  </si>
  <si>
    <t>Bartending/Bartender.</t>
  </si>
  <si>
    <t>12.0503</t>
  </si>
  <si>
    <t>Culinary Arts/Chef Training.</t>
  </si>
  <si>
    <t>12.0504</t>
  </si>
  <si>
    <t>Restaurant, Culinary, and Catering Management/Manager.</t>
  </si>
  <si>
    <t>12.0505</t>
  </si>
  <si>
    <t>Food Preparation/Professional Cooking/Kitchen Assistant.</t>
  </si>
  <si>
    <t>12.0506</t>
  </si>
  <si>
    <t>Meat Cutting/Meat Cutter.</t>
  </si>
  <si>
    <t>12.0507</t>
  </si>
  <si>
    <t>Food Service, Waiter/Waitress, and Dining Room Management/Manager.</t>
  </si>
  <si>
    <t>12.0508</t>
  </si>
  <si>
    <t>Institutional Food Workers.</t>
  </si>
  <si>
    <t>12.0509</t>
  </si>
  <si>
    <t>Culinary Science/Culinology.</t>
  </si>
  <si>
    <t>12.0510</t>
  </si>
  <si>
    <t>Wine Steward/Sommelier.</t>
  </si>
  <si>
    <t>12.0599</t>
  </si>
  <si>
    <t>Culinary Arts and Related Services, Other.</t>
  </si>
  <si>
    <t>Casino Operations and Services, General.</t>
  </si>
  <si>
    <t>Casino Dealing.</t>
  </si>
  <si>
    <t>Casino Operations and Services, Other.</t>
  </si>
  <si>
    <t>12.9999</t>
  </si>
  <si>
    <t>Personal and Culinary Services, Other.</t>
  </si>
  <si>
    <t>Culinary, Entertainment, and Personal Services, Other.</t>
  </si>
  <si>
    <t>13.0101</t>
  </si>
  <si>
    <t>Education, General.</t>
  </si>
  <si>
    <t>13.0201</t>
  </si>
  <si>
    <t>Bilingual and Multilingual Education.</t>
  </si>
  <si>
    <t>13.0202</t>
  </si>
  <si>
    <t>Multicultural Education.</t>
  </si>
  <si>
    <t>13.0203</t>
  </si>
  <si>
    <t>Indian/Native American Education.</t>
  </si>
  <si>
    <t>13.0299</t>
  </si>
  <si>
    <t>Bilingual, Multilingual, and Multicultural Education, Other.</t>
  </si>
  <si>
    <t>13.0301</t>
  </si>
  <si>
    <t>Curriculum and Instruction.</t>
  </si>
  <si>
    <t>13.0401</t>
  </si>
  <si>
    <t>Educational Leadership and Administration, General.</t>
  </si>
  <si>
    <t>13.0402</t>
  </si>
  <si>
    <t>Administration of Special Education.</t>
  </si>
  <si>
    <t>13.0403</t>
  </si>
  <si>
    <t>Adult and Continuing Education Administration.</t>
  </si>
  <si>
    <t>13.0404</t>
  </si>
  <si>
    <t>Educational, Instructional, and Curriculum Supervision.</t>
  </si>
  <si>
    <t>13.0406</t>
  </si>
  <si>
    <t>Higher Education/Higher Education Administration.</t>
  </si>
  <si>
    <t>13.0407</t>
  </si>
  <si>
    <t>Community College Education.</t>
  </si>
  <si>
    <t>Community College Administration.</t>
  </si>
  <si>
    <t>13.0408</t>
  </si>
  <si>
    <t>Elementary and Middle School Administration/Principalship.</t>
  </si>
  <si>
    <t>13.0409</t>
  </si>
  <si>
    <t>Secondary School Administration/Principalship.</t>
  </si>
  <si>
    <t>13.0410</t>
  </si>
  <si>
    <t>Urban Education and Leadership.</t>
  </si>
  <si>
    <t>13.0411</t>
  </si>
  <si>
    <t>Superintendency and Educational System Administration.</t>
  </si>
  <si>
    <t>International School Administration/Leadership.</t>
  </si>
  <si>
    <t>Education Entrepreneurship.</t>
  </si>
  <si>
    <t>Early Childhood Program Administration.</t>
  </si>
  <si>
    <t>13.0499</t>
  </si>
  <si>
    <t>Educational Administration and Supervision, Other.</t>
  </si>
  <si>
    <t>13.0501</t>
  </si>
  <si>
    <t>Educational/Instructional Technology.</t>
  </si>
  <si>
    <t>13.0601</t>
  </si>
  <si>
    <t>Educational Evaluation and Research.</t>
  </si>
  <si>
    <t>13.0603</t>
  </si>
  <si>
    <t>Educational Statistics and Research Methods.</t>
  </si>
  <si>
    <t>13.0604</t>
  </si>
  <si>
    <t>Educational Assessment, Testing, and Measurement.</t>
  </si>
  <si>
    <t>13.0607</t>
  </si>
  <si>
    <t>Learning Sciences.</t>
  </si>
  <si>
    <t>Institutional Research.</t>
  </si>
  <si>
    <t>13.0699</t>
  </si>
  <si>
    <t>Educational Assessment, Evaluation, and Research, Other.</t>
  </si>
  <si>
    <t>13.0701</t>
  </si>
  <si>
    <t>International and Comparative Education.</t>
  </si>
  <si>
    <t>13.0901</t>
  </si>
  <si>
    <t>Social and Philosophical Foundations of Education.</t>
  </si>
  <si>
    <t>13.1001</t>
  </si>
  <si>
    <t>Special Education and Teaching, General.</t>
  </si>
  <si>
    <t>13.1003</t>
  </si>
  <si>
    <t>Education/Teaching of Individuals with Hearing Impairments Including Deafness.</t>
  </si>
  <si>
    <t>13.1004</t>
  </si>
  <si>
    <t>Education/Teaching of the Gifted and Talented.</t>
  </si>
  <si>
    <t>13.1005</t>
  </si>
  <si>
    <t>Education/Teaching of Individuals with Emotional Disturbances.</t>
  </si>
  <si>
    <t>13.1006</t>
  </si>
  <si>
    <t>Education/Teaching of Individuals with Mental Retardation.</t>
  </si>
  <si>
    <t>Education/Teaching of Individuals with Intellectual Disabilities.</t>
  </si>
  <si>
    <t>13.1007</t>
  </si>
  <si>
    <t>Education/Teaching of Individuals with Multiple Disabilities.</t>
  </si>
  <si>
    <t>13.1008</t>
  </si>
  <si>
    <t>Education/Teaching of Individuals with Orthopedic and Other Physical Health Impairments.</t>
  </si>
  <si>
    <t>13.1009</t>
  </si>
  <si>
    <t>Education/Teaching of Individuals with Vision Impairments Including Blindness.</t>
  </si>
  <si>
    <t>13.1011</t>
  </si>
  <si>
    <t>Education/Teaching of Individuals with Specific Learning Disabilities.</t>
  </si>
  <si>
    <t>13.1012</t>
  </si>
  <si>
    <t>Education/Teaching of Individuals with Speech or Language Impairments.</t>
  </si>
  <si>
    <t>13.1013</t>
  </si>
  <si>
    <t>Education/Teaching of Individuals with Autism.</t>
  </si>
  <si>
    <t>13.1014</t>
  </si>
  <si>
    <t>Education/Teaching of Individuals Who are Developmentally Delayed.</t>
  </si>
  <si>
    <t>13.1015</t>
  </si>
  <si>
    <t>Education/Teaching of Individuals in Early Childhood Special Education Programs.</t>
  </si>
  <si>
    <t>13.1016</t>
  </si>
  <si>
    <t>Education/Teaching of Individuals with Traumatic Brain Injuries.</t>
  </si>
  <si>
    <t>13.1017</t>
  </si>
  <si>
    <t>Education/Teaching of Individuals in Elementary Special Education Programs.</t>
  </si>
  <si>
    <t>13.1018</t>
  </si>
  <si>
    <t>Education/Teaching of Individuals in Junior High/Middle School Special Education Programs.</t>
  </si>
  <si>
    <t>13.1019</t>
  </si>
  <si>
    <t>Education/Teaching of Individuals in Secondary Special Education Programs.</t>
  </si>
  <si>
    <t>13.1099</t>
  </si>
  <si>
    <t>Special Education and Teaching, Other.</t>
  </si>
  <si>
    <t>13.1101</t>
  </si>
  <si>
    <t>Counselor Education/School Counseling and Guidance Services.</t>
  </si>
  <si>
    <t>13.1102</t>
  </si>
  <si>
    <t>College Student Counseling and Personnel Services.</t>
  </si>
  <si>
    <t>13.1199</t>
  </si>
  <si>
    <t>Student Counseling and Personnel Services, Other.</t>
  </si>
  <si>
    <t>13.1201</t>
  </si>
  <si>
    <t>Adult and Continuing Education and Teaching.</t>
  </si>
  <si>
    <t>13.1202</t>
  </si>
  <si>
    <t>Elementary Education and Teaching.</t>
  </si>
  <si>
    <t>13.1203</t>
  </si>
  <si>
    <t>Junior High/Intermediate/Middle School Education and Teaching.</t>
  </si>
  <si>
    <t>13.1205</t>
  </si>
  <si>
    <t>Secondary Education and Teaching.</t>
  </si>
  <si>
    <t>13.1206</t>
  </si>
  <si>
    <t>Teacher Education, Multiple Levels.</t>
  </si>
  <si>
    <t>13.1207</t>
  </si>
  <si>
    <t>Montessori Teacher Education.</t>
  </si>
  <si>
    <t>13.1208</t>
  </si>
  <si>
    <t>Waldorf/Steiner Teacher Education.</t>
  </si>
  <si>
    <t>13.1209</t>
  </si>
  <si>
    <t>Kindergarten/Preschool Education and Teaching.</t>
  </si>
  <si>
    <t>13.1210</t>
  </si>
  <si>
    <t>Early Childhood Education and Teaching.</t>
  </si>
  <si>
    <t>Online Educator/Online Teaching.</t>
  </si>
  <si>
    <t>International Teaching and Learning.</t>
  </si>
  <si>
    <t>Science, Technology, Engineering, and Mathematics (STEM) Educational Methods.</t>
  </si>
  <si>
    <t>College/Postsecondary/University Teaching.</t>
  </si>
  <si>
    <t>13.1299</t>
  </si>
  <si>
    <t>Teacher Education and Professional Development, Specific Levels and Methods, Other.</t>
  </si>
  <si>
    <t>13.1301</t>
  </si>
  <si>
    <t>Agricultural Teacher Education.</t>
  </si>
  <si>
    <t>13.1302</t>
  </si>
  <si>
    <t>Art Teacher Education.</t>
  </si>
  <si>
    <t>13.1303</t>
  </si>
  <si>
    <t>Business Teacher Education.</t>
  </si>
  <si>
    <t>Business and Innovation/Entrepreneurship Teacher Education.</t>
  </si>
  <si>
    <t>13.1304</t>
  </si>
  <si>
    <t>Driver and Safety Teacher Education.</t>
  </si>
  <si>
    <t>13.1305</t>
  </si>
  <si>
    <t>English/Language Arts Teacher Education.</t>
  </si>
  <si>
    <t>13.1306</t>
  </si>
  <si>
    <t>Foreign Language Teacher  Education.</t>
  </si>
  <si>
    <t>13.1307</t>
  </si>
  <si>
    <t>Health Teacher Education.</t>
  </si>
  <si>
    <t>13.1308</t>
  </si>
  <si>
    <t>Family and Consumer Sciences/Home Economics Teacher Education.</t>
  </si>
  <si>
    <t>13.1309</t>
  </si>
  <si>
    <t>Technology Teacher Education/Industrial Arts Teacher Education.</t>
  </si>
  <si>
    <t>13.1310</t>
  </si>
  <si>
    <t>Sales and Marketing Operations/Marketing and Distribution   Teacher Education.</t>
  </si>
  <si>
    <t>13.1311</t>
  </si>
  <si>
    <t>Mathematics Teacher Education.</t>
  </si>
  <si>
    <t>13.1312</t>
  </si>
  <si>
    <t>Music Teacher Education.</t>
  </si>
  <si>
    <t>13.1314</t>
  </si>
  <si>
    <t>Physical Education Teaching and Coaching.</t>
  </si>
  <si>
    <t>13.1315</t>
  </si>
  <si>
    <t>Reading Teacher Education.</t>
  </si>
  <si>
    <t>13.1316</t>
  </si>
  <si>
    <t>Science Teacher Education/General Science Teacher Education.</t>
  </si>
  <si>
    <t>13.1317</t>
  </si>
  <si>
    <t>Social Science Teacher Education.</t>
  </si>
  <si>
    <t>13.1318</t>
  </si>
  <si>
    <t>Social Studies Teacher Education.</t>
  </si>
  <si>
    <t>13.1319</t>
  </si>
  <si>
    <t>Technical Teacher Education.</t>
  </si>
  <si>
    <t>13.1320</t>
  </si>
  <si>
    <t>Trade and Industrial Teacher Education.</t>
  </si>
  <si>
    <t>13.1321</t>
  </si>
  <si>
    <t>Computer Teacher Education.</t>
  </si>
  <si>
    <t>13.1322</t>
  </si>
  <si>
    <t>Biology Teacher Education.</t>
  </si>
  <si>
    <t>13.1323</t>
  </si>
  <si>
    <t>Chemistry Teacher Education.</t>
  </si>
  <si>
    <t>13.1324</t>
  </si>
  <si>
    <t>Drama and Dance Teacher Education.</t>
  </si>
  <si>
    <t>13.1325</t>
  </si>
  <si>
    <t>French Language Teacher Education.</t>
  </si>
  <si>
    <t>13.1326</t>
  </si>
  <si>
    <t>German Language Teacher Education.</t>
  </si>
  <si>
    <t>13.1327</t>
  </si>
  <si>
    <t>Health Occupations Teacher Education.</t>
  </si>
  <si>
    <t>13.1328</t>
  </si>
  <si>
    <t>History Teacher Education.</t>
  </si>
  <si>
    <t>13.1329</t>
  </si>
  <si>
    <t>Physics Teacher Education.</t>
  </si>
  <si>
    <t>13.1330</t>
  </si>
  <si>
    <t>Spanish Language Teacher Education.</t>
  </si>
  <si>
    <t>13.1331</t>
  </si>
  <si>
    <t>Speech Teacher Education.</t>
  </si>
  <si>
    <t>13.1332</t>
  </si>
  <si>
    <t>Geography Teacher Education.</t>
  </si>
  <si>
    <t>13.1333</t>
  </si>
  <si>
    <t>Latin Teacher Education.</t>
  </si>
  <si>
    <t>13.1334</t>
  </si>
  <si>
    <t>School Librarian/School Library Media Specialist.</t>
  </si>
  <si>
    <t>13.1335</t>
  </si>
  <si>
    <t>Psychology Teacher Education.</t>
  </si>
  <si>
    <t>13.1337</t>
  </si>
  <si>
    <t>Earth Science Teacher Education.</t>
  </si>
  <si>
    <t>13.1338</t>
  </si>
  <si>
    <t>Environmental Education.</t>
  </si>
  <si>
    <t>Communication Arts and Literature Teacher Education.</t>
  </si>
  <si>
    <t>13.1399</t>
  </si>
  <si>
    <t>Teacher Education and Professional Development, Specific Subject Areas, Other.</t>
  </si>
  <si>
    <t>13.1401</t>
  </si>
  <si>
    <t>Teaching English as a Second or Foreign Language/ESL Language Instructor.</t>
  </si>
  <si>
    <t>13.1402</t>
  </si>
  <si>
    <t>Teaching French as a Second or Foreign Language.</t>
  </si>
  <si>
    <t>13.1499</t>
  </si>
  <si>
    <t>Teaching English or French as a Second or Foreign Language, Other.</t>
  </si>
  <si>
    <t>13.1501</t>
  </si>
  <si>
    <t>Teacher Assistant/Aide.</t>
  </si>
  <si>
    <t>13.1502</t>
  </si>
  <si>
    <t>Adult Literacy Tutor/Instructor.</t>
  </si>
  <si>
    <t>13.1599</t>
  </si>
  <si>
    <t>Teaching Assistants/Aides, Other.</t>
  </si>
  <si>
    <t>13.9999</t>
  </si>
  <si>
    <t>Education, Other.</t>
  </si>
  <si>
    <t>14.0101</t>
  </si>
  <si>
    <t>Engineering, General.</t>
  </si>
  <si>
    <t>14.0102</t>
  </si>
  <si>
    <t>Pre-Engineering.</t>
  </si>
  <si>
    <t>Applied Engineering.</t>
  </si>
  <si>
    <t>14.0201</t>
  </si>
  <si>
    <t>Aerospace, Aeronautical and Astronautical/Space Engineering.</t>
  </si>
  <si>
    <t>Aerospace, Aeronautical, and Astronautical/Space Engineering, General.</t>
  </si>
  <si>
    <t>Astronautical Engineering.</t>
  </si>
  <si>
    <t>Aerospace, Aeronautical, and Astronautical/Space Engineering, Other.</t>
  </si>
  <si>
    <t>14.0301</t>
  </si>
  <si>
    <t>Agricultural Engineering.</t>
  </si>
  <si>
    <t>14.0401</t>
  </si>
  <si>
    <t>Architectural Engineering.</t>
  </si>
  <si>
    <t>14.0501</t>
  </si>
  <si>
    <t>Bioengineering and Biomedical Engineering.</t>
  </si>
  <si>
    <t>14.0601</t>
  </si>
  <si>
    <t>Ceramic Sciences and Engineering.</t>
  </si>
  <si>
    <t>14.0701</t>
  </si>
  <si>
    <t>Chemical Engineering.</t>
  </si>
  <si>
    <t>14.0702</t>
  </si>
  <si>
    <t>Chemical and Biomolecular Engineering.</t>
  </si>
  <si>
    <t>14.0799</t>
  </si>
  <si>
    <t>Chemical Engineering, Other.</t>
  </si>
  <si>
    <t>14.0801</t>
  </si>
  <si>
    <t>Civil Engineering, General.</t>
  </si>
  <si>
    <t>14.0802</t>
  </si>
  <si>
    <t>Geotechnical and Geoenvironmental Engineering.</t>
  </si>
  <si>
    <t>14.0803</t>
  </si>
  <si>
    <t>Structural Engineering.</t>
  </si>
  <si>
    <t>14.0804</t>
  </si>
  <si>
    <t>Transportation and Highway Engineering.</t>
  </si>
  <si>
    <t>14.0805</t>
  </si>
  <si>
    <t>Water Resources Engineering.</t>
  </si>
  <si>
    <t>14.0899</t>
  </si>
  <si>
    <t>Civil Engineering, Other.</t>
  </si>
  <si>
    <t>14.0901</t>
  </si>
  <si>
    <t>Computer Engineering, General.</t>
  </si>
  <si>
    <t>14.0902</t>
  </si>
  <si>
    <t>Computer Hardware Engineering.</t>
  </si>
  <si>
    <t>14.0903</t>
  </si>
  <si>
    <t>Computer Software Engineering.</t>
  </si>
  <si>
    <t>14.0999</t>
  </si>
  <si>
    <t>Computer Engineering, Other.</t>
  </si>
  <si>
    <t>14.1001</t>
  </si>
  <si>
    <t>Electrical and Electronics Engineering</t>
  </si>
  <si>
    <t>Electrical and Electronics Engineering.</t>
  </si>
  <si>
    <t>14.1003</t>
  </si>
  <si>
    <t>Laser and Optical Engineering.</t>
  </si>
  <si>
    <t>14.1004</t>
  </si>
  <si>
    <t>Telecommunications Engineering.</t>
  </si>
  <si>
    <t>14.1099</t>
  </si>
  <si>
    <t>Electrical, Electronics and Communications Engineering, Other.</t>
  </si>
  <si>
    <t>Electrical, Electronics, and Communications Engineering, Other.</t>
  </si>
  <si>
    <t>14.1101</t>
  </si>
  <si>
    <t>Engineering Mechanics.</t>
  </si>
  <si>
    <t>14.1201</t>
  </si>
  <si>
    <t>Engineering Physics/Applied Physics.</t>
  </si>
  <si>
    <t>14.1301</t>
  </si>
  <si>
    <t>Engineering Science.</t>
  </si>
  <si>
    <t>14.1401</t>
  </si>
  <si>
    <t>Environmental/Environmental Health Engineering.</t>
  </si>
  <si>
    <t>14.1801</t>
  </si>
  <si>
    <t>Materials Engineering.</t>
  </si>
  <si>
    <t>14.1901</t>
  </si>
  <si>
    <t>Mechanical Engineering.</t>
  </si>
  <si>
    <t>14.2001</t>
  </si>
  <si>
    <t>Metallurgical Engineering.</t>
  </si>
  <si>
    <t>14.2101</t>
  </si>
  <si>
    <t>Mining and Mineral Engineering.</t>
  </si>
  <si>
    <t>14.2201</t>
  </si>
  <si>
    <t>Naval Architecture and Marine Engineering.</t>
  </si>
  <si>
    <t>14.2301</t>
  </si>
  <si>
    <t>Nuclear Engineering.</t>
  </si>
  <si>
    <t>14.2401</t>
  </si>
  <si>
    <t>Ocean Engineering.</t>
  </si>
  <si>
    <t>14.2501</t>
  </si>
  <si>
    <t>Petroleum Engineering.</t>
  </si>
  <si>
    <t>14.2701</t>
  </si>
  <si>
    <t>Systems Engineering.</t>
  </si>
  <si>
    <t>14.2801</t>
  </si>
  <si>
    <t>Textile Sciences and Engineering.</t>
  </si>
  <si>
    <t>14.3201</t>
  </si>
  <si>
    <t>Polymer/Plastics Engineering.</t>
  </si>
  <si>
    <t>14.3301</t>
  </si>
  <si>
    <t>Construction Engineering.</t>
  </si>
  <si>
    <t>14.3401</t>
  </si>
  <si>
    <t>Forest Engineering.</t>
  </si>
  <si>
    <t>14.3501</t>
  </si>
  <si>
    <t>Industrial Engineering.</t>
  </si>
  <si>
    <t>14.3601</t>
  </si>
  <si>
    <t>Manufacturing Engineering.</t>
  </si>
  <si>
    <t>14.3701</t>
  </si>
  <si>
    <t>Operations Research.</t>
  </si>
  <si>
    <t>14.3801</t>
  </si>
  <si>
    <t>Surveying Engineering.</t>
  </si>
  <si>
    <t>14.3901</t>
  </si>
  <si>
    <t>Geological/Geophysical Engineering.</t>
  </si>
  <si>
    <t>14.4001</t>
  </si>
  <si>
    <t>Paper Science and Engineering.</t>
  </si>
  <si>
    <t>14.4101</t>
  </si>
  <si>
    <t>Electromechanical Engineering.</t>
  </si>
  <si>
    <t>14.4201</t>
  </si>
  <si>
    <t>Mechatronics, Robotics, and Automation Engineering.</t>
  </si>
  <si>
    <t>14.4301</t>
  </si>
  <si>
    <t>Biochemical Engineering.</t>
  </si>
  <si>
    <t>14.4401</t>
  </si>
  <si>
    <t>Engineering Chemistry.</t>
  </si>
  <si>
    <t>14.4501</t>
  </si>
  <si>
    <t>Biological/Biosystems Engineering.</t>
  </si>
  <si>
    <t>Electrical and Computer Engineering.</t>
  </si>
  <si>
    <t>Energy Systems Engineering, General.</t>
  </si>
  <si>
    <t>Power Plant Engineering.</t>
  </si>
  <si>
    <t>Energy Systems Engineering, Other.</t>
  </si>
  <si>
    <t>14.9999</t>
  </si>
  <si>
    <t>Engineering, Other.</t>
  </si>
  <si>
    <t>15.0000</t>
  </si>
  <si>
    <t>Engineering Technology, General.</t>
  </si>
  <si>
    <t>Engineering Technologies/Technicians, General.</t>
  </si>
  <si>
    <t>Applied Engineering Technologies/Technicians.</t>
  </si>
  <si>
    <t>15.0101</t>
  </si>
  <si>
    <t>Architectural Engineering Technology/Technician.</t>
  </si>
  <si>
    <t>Architectural Engineering Technologies/Technicians.</t>
  </si>
  <si>
    <t>15.0201</t>
  </si>
  <si>
    <t>Civil Engineering Technology/Technician.</t>
  </si>
  <si>
    <t>Civil Engineering Technologies/Technicians.</t>
  </si>
  <si>
    <t>15.0303</t>
  </si>
  <si>
    <t>Electrical, Electronic and Communications Engineering Technology/Technician.</t>
  </si>
  <si>
    <t>Electrical, Electronic, and Communications Engineering Technology/Technician.</t>
  </si>
  <si>
    <t>15.0304</t>
  </si>
  <si>
    <t>Laser and Optical Technology/Technician.</t>
  </si>
  <si>
    <t>15.0305</t>
  </si>
  <si>
    <t>Telecommunications Technology/Technician.</t>
  </si>
  <si>
    <t>15.0306</t>
  </si>
  <si>
    <t>Integrated Circuit Design.</t>
  </si>
  <si>
    <t>Integrated Circuit Design Technology/Technician.</t>
  </si>
  <si>
    <t>Audio Engineering Technology/Technician.</t>
  </si>
  <si>
    <t>15.0399</t>
  </si>
  <si>
    <t>Electrical and Electronic Engineering Technologies/Technicians, Other.</t>
  </si>
  <si>
    <t>Electrical/Electronic Engineering Technologies/Technicians, Other.</t>
  </si>
  <si>
    <t>15.0401</t>
  </si>
  <si>
    <t>Biomedical Technology/Technician.</t>
  </si>
  <si>
    <t>15.0403</t>
  </si>
  <si>
    <t>Electromechanical Technology/Electromechanical Engineering Technology.</t>
  </si>
  <si>
    <t>Electromechanical/Electromechanical Engineering Technology/Technician.</t>
  </si>
  <si>
    <t>15.0404</t>
  </si>
  <si>
    <t>Instrumentation Technology/Technician.</t>
  </si>
  <si>
    <t>15.0405</t>
  </si>
  <si>
    <t>Robotics Technology/Technician.</t>
  </si>
  <si>
    <t>15.0406</t>
  </si>
  <si>
    <t>Automation Engineer Technology/Technician.</t>
  </si>
  <si>
    <t>Mechatronics, Robotics, and Automation Engineering Technology/Technician.</t>
  </si>
  <si>
    <t>15.0499</t>
  </si>
  <si>
    <t>Electromechanical and Instrumentation and Maintenance Technologies/Technicians, Other.</t>
  </si>
  <si>
    <t>Electromechanical Technologies/Technicians, Other.</t>
  </si>
  <si>
    <t>15.0501</t>
  </si>
  <si>
    <t>Heating, Ventilation, Air Conditioning and Refrigeration Engineering Technology/Technician.</t>
  </si>
  <si>
    <t>15.0503</t>
  </si>
  <si>
    <t>Energy Management and Systems Technology/Technician.</t>
  </si>
  <si>
    <t>Energy Systems Technology/Technician.</t>
  </si>
  <si>
    <t>15.0505</t>
  </si>
  <si>
    <t>Solar Energy Technology/Technician.</t>
  </si>
  <si>
    <t>15.0506</t>
  </si>
  <si>
    <t>Water Quality and Wastewater Treatment Management and Recycling Technology/Technician.</t>
  </si>
  <si>
    <t>15.0507</t>
  </si>
  <si>
    <t>Environmental Engineering Technology/Environmental Technology.</t>
  </si>
  <si>
    <t>Environmental/Environmental Engineering Technology/Technician.</t>
  </si>
  <si>
    <t>15.0508</t>
  </si>
  <si>
    <t>Hazardous Materials Management and Waste Technology/Technician.</t>
  </si>
  <si>
    <t>15.0599</t>
  </si>
  <si>
    <t>Environmental Control Technologies/Technicians, Other.</t>
  </si>
  <si>
    <t>15.0607</t>
  </si>
  <si>
    <t>Plastics and Polymer Engineering Technology/Technician.</t>
  </si>
  <si>
    <t>15.0611</t>
  </si>
  <si>
    <t>Metallurgical Technology/Technician.</t>
  </si>
  <si>
    <t>15.0612</t>
  </si>
  <si>
    <t>Industrial Technology/Technician.</t>
  </si>
  <si>
    <t>15.0613</t>
  </si>
  <si>
    <t>Manufacturing Engineering Technology/Technician.</t>
  </si>
  <si>
    <t>15.0614</t>
  </si>
  <si>
    <t>Welding Engineering Technology/Technician.</t>
  </si>
  <si>
    <t>15.0615</t>
  </si>
  <si>
    <t>Chemical Engineering Technology/Technician.</t>
  </si>
  <si>
    <t>15.0616</t>
  </si>
  <si>
    <t>Semiconductor Manufacturing Technology.</t>
  </si>
  <si>
    <t>Semiconductor Manufacturing Technology/Technician.</t>
  </si>
  <si>
    <t>Composite Materials Technology/Technician.</t>
  </si>
  <si>
    <t>15.0699</t>
  </si>
  <si>
    <t>Industrial Production Technologies/Technicians, Other.</t>
  </si>
  <si>
    <t>15.0701</t>
  </si>
  <si>
    <t>Occupational Safety and Health Technology/Technician.</t>
  </si>
  <si>
    <t>15.0702</t>
  </si>
  <si>
    <t>Quality Control Technology/Technician.</t>
  </si>
  <si>
    <t>15.0703</t>
  </si>
  <si>
    <t>Industrial Safety Technology/Technician.</t>
  </si>
  <si>
    <t>15.0704</t>
  </si>
  <si>
    <t>Hazardous Materials Information Systems Technology/Technician.</t>
  </si>
  <si>
    <t>Process Safety Technology/Technician.</t>
  </si>
  <si>
    <t>15.0799</t>
  </si>
  <si>
    <t>Quality Control and Safety Technologies/Technicians, Other.</t>
  </si>
  <si>
    <t>15.0801</t>
  </si>
  <si>
    <t>Aeronautical/Aerospace Engineering Technology/Technician.</t>
  </si>
  <si>
    <t>15.0803</t>
  </si>
  <si>
    <t>Automotive Engineering Technology/Technician.</t>
  </si>
  <si>
    <t>15.0805</t>
  </si>
  <si>
    <t>Mechanical Engineering/Mechanical Technology/Technician.</t>
  </si>
  <si>
    <t>Mechanical/Mechanical Engineering Technology/Technician.</t>
  </si>
  <si>
    <t>Marine Engineering Technology/Technician.</t>
  </si>
  <si>
    <t>Motorsports Engineering Technology/Technician.</t>
  </si>
  <si>
    <t>15.0899</t>
  </si>
  <si>
    <t>Mechanical Engineering Related Technologies/Technicians, Other.</t>
  </si>
  <si>
    <t>15.0901</t>
  </si>
  <si>
    <t>Mining Technology/Technician.</t>
  </si>
  <si>
    <t>15.0903</t>
  </si>
  <si>
    <t>Petroleum Technology/Technician.</t>
  </si>
  <si>
    <t>15.0999</t>
  </si>
  <si>
    <t>Mining and Petroleum Technologies/Technicians, Other.</t>
  </si>
  <si>
    <t>15.1001</t>
  </si>
  <si>
    <t>Construction Engineering Technology/Technician.</t>
  </si>
  <si>
    <t>15.1102</t>
  </si>
  <si>
    <t>Surveying Technology/Surveying.</t>
  </si>
  <si>
    <t>15.1103</t>
  </si>
  <si>
    <t>Hydraulics and Fluid Power Technology/Technician.</t>
  </si>
  <si>
    <t>15.1199</t>
  </si>
  <si>
    <t>Engineering-Related Technologies, Other.</t>
  </si>
  <si>
    <t>Engineering-Related Technologies/Technicians, Other.</t>
  </si>
  <si>
    <t>15.1201</t>
  </si>
  <si>
    <t>Computer Engineering Technology/Technician.</t>
  </si>
  <si>
    <t>15.1202</t>
  </si>
  <si>
    <t>Computer Technology/Computer Systems Technology.</t>
  </si>
  <si>
    <t>Computer/Computer Systems Technology/Technician.</t>
  </si>
  <si>
    <t>15.1203</t>
  </si>
  <si>
    <t>Computer Hardware Technology/Technician.</t>
  </si>
  <si>
    <t>15.1204</t>
  </si>
  <si>
    <t>Computer Software Technology/Technician.</t>
  </si>
  <si>
    <t>15.1299</t>
  </si>
  <si>
    <t>Computer Engineering Technologies/Technicians, Other.</t>
  </si>
  <si>
    <t>15.1301</t>
  </si>
  <si>
    <t>Drafting and Design Technology/Technician, General.</t>
  </si>
  <si>
    <t>15.1302</t>
  </si>
  <si>
    <t>CAD/CADD Drafting and/or Design Technology/Technician.</t>
  </si>
  <si>
    <t>15.1303</t>
  </si>
  <si>
    <t>Architectural Drafting and Architectural CAD/CADD.</t>
  </si>
  <si>
    <t>15.1304</t>
  </si>
  <si>
    <t>Civil Drafting and Civil Engineering CAD/CADD.</t>
  </si>
  <si>
    <t>15.1305</t>
  </si>
  <si>
    <t>Electrical/Electronics Drafting and Electrical/Electronics CAD/CADD.</t>
  </si>
  <si>
    <t>15.1306</t>
  </si>
  <si>
    <t>Mechanical Drafting and Mechanical Drafting CAD/CADD.</t>
  </si>
  <si>
    <t>3-D Modeling and Design Technology/Technician.</t>
  </si>
  <si>
    <t>15.1399</t>
  </si>
  <si>
    <t>Drafting/Design Engineering Technologies/Technicians, Other.</t>
  </si>
  <si>
    <t>15.1401</t>
  </si>
  <si>
    <t>Nuclear Engineering Technology/Technician.</t>
  </si>
  <si>
    <t>15.1501</t>
  </si>
  <si>
    <t>Engineering/Industrial Management.</t>
  </si>
  <si>
    <t>15.1502</t>
  </si>
  <si>
    <t>Engineering Design.</t>
  </si>
  <si>
    <t>15.1503</t>
  </si>
  <si>
    <t>Packaging Science.</t>
  </si>
  <si>
    <t>15.1599</t>
  </si>
  <si>
    <t>Engineering-Related Fields, Other.</t>
  </si>
  <si>
    <t>15.1601</t>
  </si>
  <si>
    <t>Nanotechnology.</t>
  </si>
  <si>
    <t>Power Plant Technology/Technician.</t>
  </si>
  <si>
    <t>Wind Energy Technology/Technician.</t>
  </si>
  <si>
    <t>Hydroelectric Energy Technology/Technician.</t>
  </si>
  <si>
    <t>Geothermal Energy Technology/Technician.</t>
  </si>
  <si>
    <t>Energy Systems Technologies/Technicians, Other.</t>
  </si>
  <si>
    <t>15.9999</t>
  </si>
  <si>
    <t>Engineering Technologies and Engineering-Related Fields, Other.</t>
  </si>
  <si>
    <t>Engineering/Engineering-Related Technologies/Technicians, Other.</t>
  </si>
  <si>
    <t>16.0101</t>
  </si>
  <si>
    <t>Foreign Languages and Literatures, General.</t>
  </si>
  <si>
    <t>16.0102</t>
  </si>
  <si>
    <t>Linguistics.</t>
  </si>
  <si>
    <t>16.0103</t>
  </si>
  <si>
    <t>Language Interpretation and Translation.</t>
  </si>
  <si>
    <t>16.0104</t>
  </si>
  <si>
    <t>Comparative Literature.</t>
  </si>
  <si>
    <t>16.0105</t>
  </si>
  <si>
    <t>Applied Linguistics.</t>
  </si>
  <si>
    <t>16.0199</t>
  </si>
  <si>
    <t>Linguistic, Comparative, and Related Language Studies and Services, Other.</t>
  </si>
  <si>
    <t>16.0201</t>
  </si>
  <si>
    <t>African Languages, Literatures, and Linguistics.</t>
  </si>
  <si>
    <t>16.0300</t>
  </si>
  <si>
    <t>East Asian Languages, Literatures, and Linguistics, General.</t>
  </si>
  <si>
    <t>16.0301</t>
  </si>
  <si>
    <t>Chinese Language and Literature.</t>
  </si>
  <si>
    <t>16.0302</t>
  </si>
  <si>
    <t>Japanese Language and Literature.</t>
  </si>
  <si>
    <t>16.0303</t>
  </si>
  <si>
    <t>Korean Language and Literature.</t>
  </si>
  <si>
    <t>16.0304</t>
  </si>
  <si>
    <t>Tibetan Language and Literature.</t>
  </si>
  <si>
    <t>16.0399</t>
  </si>
  <si>
    <t>East Asian Languages, Literatures, and Linguistics, Other.</t>
  </si>
  <si>
    <t>16.0400</t>
  </si>
  <si>
    <t>Slavic Languages, Literatures, and Linguistics, General.</t>
  </si>
  <si>
    <t>16.0401</t>
  </si>
  <si>
    <t>Baltic Languages, Literatures, and Linguistics.</t>
  </si>
  <si>
    <t>16.0402</t>
  </si>
  <si>
    <t>Russian Language and Literature.</t>
  </si>
  <si>
    <t>16.0404</t>
  </si>
  <si>
    <t>Albanian Language and Literature.</t>
  </si>
  <si>
    <t>16.0405</t>
  </si>
  <si>
    <t>Bulgarian Language and Literature.</t>
  </si>
  <si>
    <t>16.0406</t>
  </si>
  <si>
    <t>Czech Language and Literature.</t>
  </si>
  <si>
    <t>16.0407</t>
  </si>
  <si>
    <t>Polish Language and Literature.</t>
  </si>
  <si>
    <t>16.0408</t>
  </si>
  <si>
    <t>Bosnian, Serbian, and Croatian Languages and Literatures.</t>
  </si>
  <si>
    <t>16.0409</t>
  </si>
  <si>
    <t>Slovak Language and Literature.</t>
  </si>
  <si>
    <t>16.0410</t>
  </si>
  <si>
    <t>Ukrainian Language and Literature.</t>
  </si>
  <si>
    <t>16.0499</t>
  </si>
  <si>
    <t>Slavic, Baltic, and Albanian Languages, Literatures, and Linguistics, Other.</t>
  </si>
  <si>
    <t>16.0500</t>
  </si>
  <si>
    <t>Germanic Languages, Literatures, and Linguistics, General.</t>
  </si>
  <si>
    <t>16.0501</t>
  </si>
  <si>
    <t>German Language and Literature.</t>
  </si>
  <si>
    <t>16.0502</t>
  </si>
  <si>
    <t>Scandinavian Languages, Literatures, and Linguistics.</t>
  </si>
  <si>
    <t>16.0503</t>
  </si>
  <si>
    <t>Danish Language and Literature.</t>
  </si>
  <si>
    <t>16.0504</t>
  </si>
  <si>
    <t>Dutch/Flemish Language and Literature.</t>
  </si>
  <si>
    <t>16.0505</t>
  </si>
  <si>
    <t>Norwegian Language and Literature.</t>
  </si>
  <si>
    <t>16.0506</t>
  </si>
  <si>
    <t>Swedish Language and Literature.</t>
  </si>
  <si>
    <t>16.0599</t>
  </si>
  <si>
    <t>Germanic Languages, Literatures, and Linguistics, Other.</t>
  </si>
  <si>
    <t>16.0601</t>
  </si>
  <si>
    <t>Modern Greek Language and Literature.</t>
  </si>
  <si>
    <t>16.0700</t>
  </si>
  <si>
    <t>South Asian Languages, Literatures, and Linguistics, General.</t>
  </si>
  <si>
    <t>16.0701</t>
  </si>
  <si>
    <t>Hindi Language and Literature.</t>
  </si>
  <si>
    <t>16.0702</t>
  </si>
  <si>
    <t>Sanskrit and Classical Indian Languages, Literatures, and Linguistics.</t>
  </si>
  <si>
    <t>16.0704</t>
  </si>
  <si>
    <t>Bengali Language and Literature.</t>
  </si>
  <si>
    <t>16.0705</t>
  </si>
  <si>
    <t>Punjabi Language and Literature.</t>
  </si>
  <si>
    <t>16.0706</t>
  </si>
  <si>
    <t>Tamil Language and Literature.</t>
  </si>
  <si>
    <t>16.0707</t>
  </si>
  <si>
    <t>Urdu Language and Literature.</t>
  </si>
  <si>
    <t>16.0799</t>
  </si>
  <si>
    <t>South Asian Languages, Literatures, and Linguistics, Other.</t>
  </si>
  <si>
    <t>16.0801</t>
  </si>
  <si>
    <t>Iranian Languages, Literatures, and Linguistics.</t>
  </si>
  <si>
    <t>16.0900</t>
  </si>
  <si>
    <t>Romance Languages, Literatures, and Linguistics, General.</t>
  </si>
  <si>
    <t>16.0901</t>
  </si>
  <si>
    <t>French Language and Literature.</t>
  </si>
  <si>
    <t>16.0902</t>
  </si>
  <si>
    <t>Italian Language and Literature.</t>
  </si>
  <si>
    <t>16.0904</t>
  </si>
  <si>
    <t>Portuguese Language and Literature.</t>
  </si>
  <si>
    <t>16.0905</t>
  </si>
  <si>
    <t>Spanish Language and Literature.</t>
  </si>
  <si>
    <t>16.0906</t>
  </si>
  <si>
    <t>Romanian Language and Literature.</t>
  </si>
  <si>
    <t>16.0907</t>
  </si>
  <si>
    <t>Catalan Language and Literature.</t>
  </si>
  <si>
    <t>16.0908</t>
  </si>
  <si>
    <t>Hispanic and Latin American Languages, Literatures, and Linguistics, General.</t>
  </si>
  <si>
    <t>16.0999</t>
  </si>
  <si>
    <t>Romance Languages, Literatures, and Linguistics, Other.</t>
  </si>
  <si>
    <t>16.1001</t>
  </si>
  <si>
    <t>American Indian/Native American Languages, Literatures, and Linguistics.</t>
  </si>
  <si>
    <t>16.1100</t>
  </si>
  <si>
    <t>Middle/Near Eastern and Semitic Languages, Literatures, and Linguistics, General.</t>
  </si>
  <si>
    <t>16.1101</t>
  </si>
  <si>
    <t>Arabic Language and Literature.</t>
  </si>
  <si>
    <t>16.1102</t>
  </si>
  <si>
    <t>Hebrew Language and Literature.</t>
  </si>
  <si>
    <t>16.1103</t>
  </si>
  <si>
    <t>Ancient Near Eastern and Biblical Languages, Literatures, and Linguistics.</t>
  </si>
  <si>
    <t>16.1199</t>
  </si>
  <si>
    <t>Middle/Near Eastern and Semitic Languages, Literatures, and Linguistics, Other.</t>
  </si>
  <si>
    <t>16.1200</t>
  </si>
  <si>
    <t>Classics and Classical Languages, Literatures, and Linguistics, General.</t>
  </si>
  <si>
    <t>16.1202</t>
  </si>
  <si>
    <t>Ancient/Classical Greek Language and Literature.</t>
  </si>
  <si>
    <t>16.1203</t>
  </si>
  <si>
    <t>Latin Language and Literature.</t>
  </si>
  <si>
    <t>16.1299</t>
  </si>
  <si>
    <t>Classics and Classical Languages, Literatures, and Linguistics, Other.</t>
  </si>
  <si>
    <t>16.1301</t>
  </si>
  <si>
    <t>Celtic Languages, Literatures, and Linguistics.</t>
  </si>
  <si>
    <t>16.1400</t>
  </si>
  <si>
    <t>Southeast Asian Languages, Literatures, and Linguistics, General.</t>
  </si>
  <si>
    <t>16.1401</t>
  </si>
  <si>
    <t>Australian/Oceanic/Pacific Languages, Literatures, and Linguistics.</t>
  </si>
  <si>
    <t>16.1402</t>
  </si>
  <si>
    <t>Indonesian/Malay Languages and Literatures.</t>
  </si>
  <si>
    <t>16.1403</t>
  </si>
  <si>
    <t>Burmese Language and Literature.</t>
  </si>
  <si>
    <t>16.1404</t>
  </si>
  <si>
    <t>Filipino/Tagalog Language and Literature.</t>
  </si>
  <si>
    <t>16.1405</t>
  </si>
  <si>
    <t>Khmer/Cambodian Language and Literature.</t>
  </si>
  <si>
    <t>16.1406</t>
  </si>
  <si>
    <t>Lao Language and Literature.</t>
  </si>
  <si>
    <t>16.1407</t>
  </si>
  <si>
    <t>Thai Language and Literature.</t>
  </si>
  <si>
    <t>16.1408</t>
  </si>
  <si>
    <t>Vietnamese Language and Literature.</t>
  </si>
  <si>
    <t>Hawaiian Language and Literature.</t>
  </si>
  <si>
    <t>16.1499</t>
  </si>
  <si>
    <t>Southeast Asian and Australasian/Pacific Languages, Literatures, and Linguistics, Other.</t>
  </si>
  <si>
    <t>16.1501</t>
  </si>
  <si>
    <t>Turkish Language and Literature.</t>
  </si>
  <si>
    <t>16.1502</t>
  </si>
  <si>
    <t>Uralic Languages, Literatures, and Linguistics.</t>
  </si>
  <si>
    <t>16.1503</t>
  </si>
  <si>
    <t>Hungarian/Magyar Language and Literature.</t>
  </si>
  <si>
    <t>16.1504</t>
  </si>
  <si>
    <t>Mongolian Language and Literature.</t>
  </si>
  <si>
    <t>16.1599</t>
  </si>
  <si>
    <t>Turkic, Uralic-Altaic, Caucasian, and Central Asian Languages, Literatures, and Linguistics, Other.</t>
  </si>
  <si>
    <t>16.1601</t>
  </si>
  <si>
    <t>American Sign Language (ASL).</t>
  </si>
  <si>
    <t>16.1602</t>
  </si>
  <si>
    <t>Linguistics of ASL and Other Sign Languages.</t>
  </si>
  <si>
    <t>16.1603</t>
  </si>
  <si>
    <t>Sign Language Interpretation and Translation.</t>
  </si>
  <si>
    <t>16.1699</t>
  </si>
  <si>
    <t>American Sign Language, Other.</t>
  </si>
  <si>
    <t>English as a Second Language.</t>
  </si>
  <si>
    <t>Armenian Language and Literature.</t>
  </si>
  <si>
    <t>16.9999</t>
  </si>
  <si>
    <t>Foreign Languages, Literatures, and Linguistics, Other.</t>
  </si>
  <si>
    <t>19.0000</t>
  </si>
  <si>
    <t>Work and Family Studies.</t>
  </si>
  <si>
    <t>19.0101</t>
  </si>
  <si>
    <t>Family and Consumer Sciences/Human Sciences, General.</t>
  </si>
  <si>
    <t>19.0201</t>
  </si>
  <si>
    <t>Business Family and Consumer Sciences/Human Sciences.</t>
  </si>
  <si>
    <t>19.0202</t>
  </si>
  <si>
    <t>Family and Consumer Sciences/Human Sciences Communication.</t>
  </si>
  <si>
    <t>19.0203</t>
  </si>
  <si>
    <t>Consumer Merchandising/Retailing Management.</t>
  </si>
  <si>
    <t>19.0299</t>
  </si>
  <si>
    <t>Family and Consumer Sciences/Human Sciences Business Services, Other.</t>
  </si>
  <si>
    <t>19.0401</t>
  </si>
  <si>
    <t>Family Resource Management Studies, General.</t>
  </si>
  <si>
    <t>19.0402</t>
  </si>
  <si>
    <t>Consumer Economics.</t>
  </si>
  <si>
    <t>19.0403</t>
  </si>
  <si>
    <t>Consumer Services and Advocacy.</t>
  </si>
  <si>
    <t>19.0499</t>
  </si>
  <si>
    <t>Family and Consumer Economics and Related Services, Other.</t>
  </si>
  <si>
    <t>19.0501</t>
  </si>
  <si>
    <t>Foods, Nutrition, and Wellness Studies, General.</t>
  </si>
  <si>
    <t>19.0504</t>
  </si>
  <si>
    <t>Human Nutrition.</t>
  </si>
  <si>
    <t>19.0505</t>
  </si>
  <si>
    <t>Foodservice Systems Administration/Management.</t>
  </si>
  <si>
    <t>19.0599</t>
  </si>
  <si>
    <t>Foods, Nutrition, and Related Services, Other.</t>
  </si>
  <si>
    <t>19.0601</t>
  </si>
  <si>
    <t>Housing and Human Environments, General.</t>
  </si>
  <si>
    <t>19.0604</t>
  </si>
  <si>
    <t>Facilities Planning and Management.</t>
  </si>
  <si>
    <t>19.0605</t>
  </si>
  <si>
    <t>Home Furnishings and Equipment Installers.</t>
  </si>
  <si>
    <t>19.0699</t>
  </si>
  <si>
    <t>Housing and Human Environments, Other.</t>
  </si>
  <si>
    <t>19.0701</t>
  </si>
  <si>
    <t>Human Development and Family Studies, General.</t>
  </si>
  <si>
    <t>19.0702</t>
  </si>
  <si>
    <t>Adult Development and Aging.</t>
  </si>
  <si>
    <t>19.0704</t>
  </si>
  <si>
    <t>Family Systems.</t>
  </si>
  <si>
    <t>19.0706</t>
  </si>
  <si>
    <t>Child Development.</t>
  </si>
  <si>
    <t>19.0707</t>
  </si>
  <si>
    <t>Family and Community Services.</t>
  </si>
  <si>
    <t>19.0708</t>
  </si>
  <si>
    <t>Child Care and Support Services Management.</t>
  </si>
  <si>
    <t>19.0709</t>
  </si>
  <si>
    <t>Child Care Provider/Assistant.</t>
  </si>
  <si>
    <t>19.0710</t>
  </si>
  <si>
    <t>Developmental Services Worker.</t>
  </si>
  <si>
    <t>Early Childhood and Family Studies.</t>
  </si>
  <si>
    <t>Parent Education Services.</t>
  </si>
  <si>
    <t>19.0799</t>
  </si>
  <si>
    <t>Human Development, Family Studies, and Related Services, Other.</t>
  </si>
  <si>
    <t>19.0901</t>
  </si>
  <si>
    <t>Apparel and Textiles, General.</t>
  </si>
  <si>
    <t>19.0902</t>
  </si>
  <si>
    <t>Apparel and Textile Manufacture.</t>
  </si>
  <si>
    <t>19.0904</t>
  </si>
  <si>
    <t>Textile Science.</t>
  </si>
  <si>
    <t>19.0905</t>
  </si>
  <si>
    <t>Apparel and Textile Marketing Management.</t>
  </si>
  <si>
    <t>19.0906</t>
  </si>
  <si>
    <t>Fashion and Fabric Consultant.</t>
  </si>
  <si>
    <t>19.0999</t>
  </si>
  <si>
    <t>Apparel and Textiles, Other.</t>
  </si>
  <si>
    <t>19.9999</t>
  </si>
  <si>
    <t>Family and Consumer Sciences/Human Sciences, Other.</t>
  </si>
  <si>
    <t>22.0000</t>
  </si>
  <si>
    <t>Legal Studies, General.</t>
  </si>
  <si>
    <t>Legal Studies.</t>
  </si>
  <si>
    <t>22.0001</t>
  </si>
  <si>
    <t>Pre-Law Studies.</t>
  </si>
  <si>
    <t>Non-Professional Legal Studies, Other.</t>
  </si>
  <si>
    <t>22.0101</t>
  </si>
  <si>
    <t>Law.</t>
  </si>
  <si>
    <t>22.0201</t>
  </si>
  <si>
    <t>Advanced Legal Research/Studies, General.</t>
  </si>
  <si>
    <t>22.0202</t>
  </si>
  <si>
    <t>Programs for Foreign Lawyers.</t>
  </si>
  <si>
    <t>22.0203</t>
  </si>
  <si>
    <t>American/U.S. Law/Legal Studies/Jurisprudence.</t>
  </si>
  <si>
    <t>22.0204</t>
  </si>
  <si>
    <t>Canadian Law/Legal Studies/Jurisprudence.</t>
  </si>
  <si>
    <t>22.0205</t>
  </si>
  <si>
    <t>Banking, Corporate, Finance, and Securities Law.</t>
  </si>
  <si>
    <t>22.0206</t>
  </si>
  <si>
    <t>Comparative Law.</t>
  </si>
  <si>
    <t>22.0207</t>
  </si>
  <si>
    <t>Energy, Environment, and Natural Resources Law.</t>
  </si>
  <si>
    <t>22.0208</t>
  </si>
  <si>
    <t>Health Law.</t>
  </si>
  <si>
    <t>22.0209</t>
  </si>
  <si>
    <t>International Law and Legal Studies.</t>
  </si>
  <si>
    <t>22.0210</t>
  </si>
  <si>
    <t>International Business, Trade, and Tax Law.</t>
  </si>
  <si>
    <t>22.0211</t>
  </si>
  <si>
    <t>Tax Law/Taxation.</t>
  </si>
  <si>
    <t>22.0212</t>
  </si>
  <si>
    <t>Intellectual Property Law.</t>
  </si>
  <si>
    <t>Patent Law.</t>
  </si>
  <si>
    <t>Agriculture Law.</t>
  </si>
  <si>
    <t>Arts and Entertainment Law.</t>
  </si>
  <si>
    <t>Compliance Law.</t>
  </si>
  <si>
    <t>Criminal Law and Procedure.</t>
  </si>
  <si>
    <t>Entrepreneurship Law.</t>
  </si>
  <si>
    <t>Family/Child/Elder Law.</t>
  </si>
  <si>
    <t>Human Resources Law.</t>
  </si>
  <si>
    <t>Insurance Law.</t>
  </si>
  <si>
    <t>Real Estate and Land Development Law.</t>
  </si>
  <si>
    <t>Transportation Law.</t>
  </si>
  <si>
    <t>Tribal/Indigenous Law.</t>
  </si>
  <si>
    <t>22.0299</t>
  </si>
  <si>
    <t>Legal Research and Advanced Professional Studies, Other.</t>
  </si>
  <si>
    <t>22.0301</t>
  </si>
  <si>
    <t>Legal Administrative Assistant/Secretary.</t>
  </si>
  <si>
    <t>22.0302</t>
  </si>
  <si>
    <t>Legal Assistant/Paralegal.</t>
  </si>
  <si>
    <t>22.0303</t>
  </si>
  <si>
    <t>Court Reporting/Court Reporter.</t>
  </si>
  <si>
    <t>Court Reporting and Captioning/Court Reporter.</t>
  </si>
  <si>
    <t>Court Interpreter.</t>
  </si>
  <si>
    <t>Scopist.</t>
  </si>
  <si>
    <t>22.0399</t>
  </si>
  <si>
    <t>Legal Support Services, Other.</t>
  </si>
  <si>
    <t>22.9999</t>
  </si>
  <si>
    <t>Legal Professions and Studies, Other.</t>
  </si>
  <si>
    <t>23.0101</t>
  </si>
  <si>
    <t>English Language and Literature, General.</t>
  </si>
  <si>
    <t>23.1301</t>
  </si>
  <si>
    <t>Writing, General.</t>
  </si>
  <si>
    <t>23.1302</t>
  </si>
  <si>
    <t>Creative Writing.</t>
  </si>
  <si>
    <t>23.1303</t>
  </si>
  <si>
    <t>Professional, Technical, Business, and Scientific Writing.</t>
  </si>
  <si>
    <t>23.1304</t>
  </si>
  <si>
    <t>Rhetoric and Composition.</t>
  </si>
  <si>
    <t>23.1399</t>
  </si>
  <si>
    <t>Rhetoric and Composition/Writing Studies, Other.</t>
  </si>
  <si>
    <t>23.1401</t>
  </si>
  <si>
    <t>General Literature.</t>
  </si>
  <si>
    <t>23.1402</t>
  </si>
  <si>
    <t>American Literature (United States).</t>
  </si>
  <si>
    <t>23.1403</t>
  </si>
  <si>
    <t>American Literature (Canadian).</t>
  </si>
  <si>
    <t>23.1404</t>
  </si>
  <si>
    <t>English Literature (British and Commonwealth).</t>
  </si>
  <si>
    <t>23.1405</t>
  </si>
  <si>
    <t>Children&amp;#39;s and Adolescent Literature.</t>
  </si>
  <si>
    <t>23.1499</t>
  </si>
  <si>
    <t>Literature, Other.</t>
  </si>
  <si>
    <t>23.9999</t>
  </si>
  <si>
    <t>English Language and Literature/Letters, Other.</t>
  </si>
  <si>
    <t>24.0101</t>
  </si>
  <si>
    <t>Liberal Arts and Sciences/Liberal Studies.</t>
  </si>
  <si>
    <t>24.0102</t>
  </si>
  <si>
    <t>General Studies.</t>
  </si>
  <si>
    <t>24.0103</t>
  </si>
  <si>
    <t>Humanities/Humanistic Studies.</t>
  </si>
  <si>
    <t>24.0199</t>
  </si>
  <si>
    <t>Liberal Arts and Sciences, General Studies and Humanities, Other.</t>
  </si>
  <si>
    <t>25.0101</t>
  </si>
  <si>
    <t>Library and Information Science.</t>
  </si>
  <si>
    <t>25.0102</t>
  </si>
  <si>
    <t>Children and Youth Library Services.</t>
  </si>
  <si>
    <t>25.0103</t>
  </si>
  <si>
    <t>Archives/Archival Administration.</t>
  </si>
  <si>
    <t>25.0199</t>
  </si>
  <si>
    <t>Library Science and Administration, Other.</t>
  </si>
  <si>
    <t>25.0301</t>
  </si>
  <si>
    <t>Library and Archives Assisting.</t>
  </si>
  <si>
    <t>25.9999</t>
  </si>
  <si>
    <t>Library Science, Other.</t>
  </si>
  <si>
    <t>26.0101</t>
  </si>
  <si>
    <t>Biology/Biological Sciences, General.</t>
  </si>
  <si>
    <t>26.0102</t>
  </si>
  <si>
    <t>Biomedical Sciences, General.</t>
  </si>
  <si>
    <t>26.0202</t>
  </si>
  <si>
    <t>Biochemistry.</t>
  </si>
  <si>
    <t>26.0203</t>
  </si>
  <si>
    <t>Biophysics.</t>
  </si>
  <si>
    <t>26.0204</t>
  </si>
  <si>
    <t>Molecular Biology.</t>
  </si>
  <si>
    <t>26.0205</t>
  </si>
  <si>
    <t>Molecular Biochemistry.</t>
  </si>
  <si>
    <t>26.0206</t>
  </si>
  <si>
    <t>Molecular Biophysics.</t>
  </si>
  <si>
    <t>26.0207</t>
  </si>
  <si>
    <t>Structural Biology.</t>
  </si>
  <si>
    <t>26.0208</t>
  </si>
  <si>
    <t>Photobiology.</t>
  </si>
  <si>
    <t>26.0209</t>
  </si>
  <si>
    <t>Radiation Biology/Radiobiology.</t>
  </si>
  <si>
    <t>26.0210</t>
  </si>
  <si>
    <t>Biochemistry and Molecular Biology.</t>
  </si>
  <si>
    <t>26.0299</t>
  </si>
  <si>
    <t>Biochemistry, Biophysics and Molecular Biology, Other.</t>
  </si>
  <si>
    <t>26.0301</t>
  </si>
  <si>
    <t>Botany/Plant Biology.</t>
  </si>
  <si>
    <t>26.0305</t>
  </si>
  <si>
    <t>Plant Pathology/Phytopathology.</t>
  </si>
  <si>
    <t>26.0307</t>
  </si>
  <si>
    <t>Plant Physiology.</t>
  </si>
  <si>
    <t>26.0308</t>
  </si>
  <si>
    <t>Plant Molecular Biology.</t>
  </si>
  <si>
    <t>26.0399</t>
  </si>
  <si>
    <t>Botany/Plant Biology, Other.</t>
  </si>
  <si>
    <t>26.0401</t>
  </si>
  <si>
    <t>Cell/Cellular Biology and Histology.</t>
  </si>
  <si>
    <t>26.0403</t>
  </si>
  <si>
    <t>Anatomy.</t>
  </si>
  <si>
    <t>26.0404</t>
  </si>
  <si>
    <t>Developmental Biology and Embryology.</t>
  </si>
  <si>
    <t>26.0406</t>
  </si>
  <si>
    <t>Cell/Cellular and Molecular Biology.</t>
  </si>
  <si>
    <t>26.0407</t>
  </si>
  <si>
    <t>Cell Biology and Anatomy.</t>
  </si>
  <si>
    <t>26.0499</t>
  </si>
  <si>
    <t>Cell/Cellular Biology and Anatomical Sciences, Other.</t>
  </si>
  <si>
    <t>26.0502</t>
  </si>
  <si>
    <t>Microbiology, General.</t>
  </si>
  <si>
    <t>26.0503</t>
  </si>
  <si>
    <t>Medical Microbiology and Bacteriology.</t>
  </si>
  <si>
    <t>26.0504</t>
  </si>
  <si>
    <t>Virology.</t>
  </si>
  <si>
    <t>26.0505</t>
  </si>
  <si>
    <t>Parasitology.</t>
  </si>
  <si>
    <t>26.0506</t>
  </si>
  <si>
    <t>Mycology.</t>
  </si>
  <si>
    <t>26.0507</t>
  </si>
  <si>
    <t>Immunology.</t>
  </si>
  <si>
    <t>26.0508</t>
  </si>
  <si>
    <t>Microbiology and Immunology.</t>
  </si>
  <si>
    <t>Infectious Disease and Global Health.</t>
  </si>
  <si>
    <t>26.0599</t>
  </si>
  <si>
    <t>Microbiological Sciences and Immunology, Other.</t>
  </si>
  <si>
    <t>26.0701</t>
  </si>
  <si>
    <t>Zoology/Animal Biology.</t>
  </si>
  <si>
    <t>26.0702</t>
  </si>
  <si>
    <t>Entomology.</t>
  </si>
  <si>
    <t>26.0707</t>
  </si>
  <si>
    <t>Animal Physiology.</t>
  </si>
  <si>
    <t>26.0708</t>
  </si>
  <si>
    <t>Animal Behavior and Ethology.</t>
  </si>
  <si>
    <t>26.0709</t>
  </si>
  <si>
    <t>Wildlife Biology.</t>
  </si>
  <si>
    <t>26.0799</t>
  </si>
  <si>
    <t>Zoology/Animal Biology, Other.</t>
  </si>
  <si>
    <t>26.0801</t>
  </si>
  <si>
    <t>Genetics, General.</t>
  </si>
  <si>
    <t>26.0802</t>
  </si>
  <si>
    <t>Molecular Genetics.</t>
  </si>
  <si>
    <t>26.0803</t>
  </si>
  <si>
    <t>Microbial and Eukaryotic Genetics.</t>
  </si>
  <si>
    <t>26.0804</t>
  </si>
  <si>
    <t>Animal Genetics.</t>
  </si>
  <si>
    <t>26.0805</t>
  </si>
  <si>
    <t>Plant Genetics.</t>
  </si>
  <si>
    <t>26.0806</t>
  </si>
  <si>
    <t>Human/Medical Genetics.</t>
  </si>
  <si>
    <t>26.0807</t>
  </si>
  <si>
    <t>Genome Sciences/Genomics.</t>
  </si>
  <si>
    <t>26.0899</t>
  </si>
  <si>
    <t>Genetics, Other.</t>
  </si>
  <si>
    <t>26.0901</t>
  </si>
  <si>
    <t>Physiology, General.</t>
  </si>
  <si>
    <t>26.0902</t>
  </si>
  <si>
    <t>Molecular Physiology.</t>
  </si>
  <si>
    <t>26.0903</t>
  </si>
  <si>
    <t>Cell Physiology.</t>
  </si>
  <si>
    <t>26.0904</t>
  </si>
  <si>
    <t>Endocrinology.</t>
  </si>
  <si>
    <t>26.0905</t>
  </si>
  <si>
    <t>Reproductive Biology.</t>
  </si>
  <si>
    <t>26.0907</t>
  </si>
  <si>
    <t>Cardiovascular Science.</t>
  </si>
  <si>
    <t>26.0908</t>
  </si>
  <si>
    <t>Exercise Physiology.</t>
  </si>
  <si>
    <t>Exercise Physiology and Kinesiology.</t>
  </si>
  <si>
    <t>26.0909</t>
  </si>
  <si>
    <t>Vision Science/Physiological Optics.</t>
  </si>
  <si>
    <t>26.0910</t>
  </si>
  <si>
    <t>Pathology/Experimental Pathology.</t>
  </si>
  <si>
    <t>26.0911</t>
  </si>
  <si>
    <t>Oncology and Cancer Biology.</t>
  </si>
  <si>
    <t>26.0912</t>
  </si>
  <si>
    <t>Aerospace Physiology and Medicine.</t>
  </si>
  <si>
    <t>Biomechanics.</t>
  </si>
  <si>
    <t>26.0999</t>
  </si>
  <si>
    <t>Physiology, Pathology, and Related Sciences, Other.</t>
  </si>
  <si>
    <t>26.1001</t>
  </si>
  <si>
    <t>Pharmacology.</t>
  </si>
  <si>
    <t>26.1002</t>
  </si>
  <si>
    <t>Molecular Pharmacology.</t>
  </si>
  <si>
    <t>26.1003</t>
  </si>
  <si>
    <t>Neuropharmacology.</t>
  </si>
  <si>
    <t>26.1004</t>
  </si>
  <si>
    <t>Toxicology.</t>
  </si>
  <si>
    <t>26.1005</t>
  </si>
  <si>
    <t>Molecular Toxicology.</t>
  </si>
  <si>
    <t>26.1006</t>
  </si>
  <si>
    <t>Environmental Toxicology.</t>
  </si>
  <si>
    <t>26.1007</t>
  </si>
  <si>
    <t>Pharmacology and Toxicology.</t>
  </si>
  <si>
    <t>26.1099</t>
  </si>
  <si>
    <t>Pharmacology and Toxicology, Other.</t>
  </si>
  <si>
    <t>26.1101</t>
  </si>
  <si>
    <t>Biometry/Biometrics.</t>
  </si>
  <si>
    <t>26.1102</t>
  </si>
  <si>
    <t>Biostatistics.</t>
  </si>
  <si>
    <t>26.1103</t>
  </si>
  <si>
    <t>Bioinformatics.</t>
  </si>
  <si>
    <t>26.1104</t>
  </si>
  <si>
    <t>Computational Biology.</t>
  </si>
  <si>
    <t>26.1199</t>
  </si>
  <si>
    <t>Biomathematics, Bioinformatics, and Computational Biology, Other.</t>
  </si>
  <si>
    <t>26.1201</t>
  </si>
  <si>
    <t>Biotechnology.</t>
  </si>
  <si>
    <t>26.1301</t>
  </si>
  <si>
    <t>Ecology.</t>
  </si>
  <si>
    <t>26.1302</t>
  </si>
  <si>
    <t>Marine Biology and Biological Oceanography.</t>
  </si>
  <si>
    <t>26.1303</t>
  </si>
  <si>
    <t>Evolutionary Biology.</t>
  </si>
  <si>
    <t>26.1304</t>
  </si>
  <si>
    <t>Aquatic Biology/Limnology.</t>
  </si>
  <si>
    <t>26.1305</t>
  </si>
  <si>
    <t>Environmental Biology.</t>
  </si>
  <si>
    <t>26.1306</t>
  </si>
  <si>
    <t>Population Biology.</t>
  </si>
  <si>
    <t>26.1307</t>
  </si>
  <si>
    <t>Conservation Biology.</t>
  </si>
  <si>
    <t>26.1308</t>
  </si>
  <si>
    <t>Systematic Biology/Biological Systematics.</t>
  </si>
  <si>
    <t>26.1309</t>
  </si>
  <si>
    <t>Epidemiology.</t>
  </si>
  <si>
    <t>26.1310</t>
  </si>
  <si>
    <t>Ecology and Evolutionary Biology.</t>
  </si>
  <si>
    <t>Epidemiology and Biostatistics.</t>
  </si>
  <si>
    <t>26.1399</t>
  </si>
  <si>
    <t>Ecology, Evolution, Systematics and Population Biology, Other.</t>
  </si>
  <si>
    <t>26.1401</t>
  </si>
  <si>
    <t>Molecular Medicine.</t>
  </si>
  <si>
    <t>26.1501</t>
  </si>
  <si>
    <t>Neuroscience.</t>
  </si>
  <si>
    <t>26.1502</t>
  </si>
  <si>
    <t>Neuroanatomy.</t>
  </si>
  <si>
    <t>26.1503</t>
  </si>
  <si>
    <t>Neurobiology and Anatomy.</t>
  </si>
  <si>
    <t>26.1504</t>
  </si>
  <si>
    <t>Neurobiology and Behavior.</t>
  </si>
  <si>
    <t>26.1599</t>
  </si>
  <si>
    <t>Neurobiology and Neurosciences, Other.</t>
  </si>
  <si>
    <t>26.9999</t>
  </si>
  <si>
    <t>Biological and Biomedical Sciences, Other.</t>
  </si>
  <si>
    <t>27.0101</t>
  </si>
  <si>
    <t>Mathematics, General.</t>
  </si>
  <si>
    <t>27.0102</t>
  </si>
  <si>
    <t>Algebra and Number Theory.</t>
  </si>
  <si>
    <t>27.0103</t>
  </si>
  <si>
    <t>Analysis and Functional Analysis.</t>
  </si>
  <si>
    <t>27.0104</t>
  </si>
  <si>
    <t>Geometry/Geometric Analysis.</t>
  </si>
  <si>
    <t>27.0105</t>
  </si>
  <si>
    <t>Topology and Foundations.</t>
  </si>
  <si>
    <t>27.0199</t>
  </si>
  <si>
    <t>Mathematics, Other.</t>
  </si>
  <si>
    <t>27.0301</t>
  </si>
  <si>
    <t>Applied Mathematics, General.</t>
  </si>
  <si>
    <t>27.0303</t>
  </si>
  <si>
    <t>Computational Mathematics.</t>
  </si>
  <si>
    <t>27.0304</t>
  </si>
  <si>
    <t>Computational and Applied Mathematics.</t>
  </si>
  <si>
    <t>27.0305</t>
  </si>
  <si>
    <t>Financial Mathematics.</t>
  </si>
  <si>
    <t>27.0306</t>
  </si>
  <si>
    <t>Mathematical Biology.</t>
  </si>
  <si>
    <t>27.0399</t>
  </si>
  <si>
    <t>Applied Mathematics, Other.</t>
  </si>
  <si>
    <t>27.0501</t>
  </si>
  <si>
    <t>Statistics, General.</t>
  </si>
  <si>
    <t>27.0502</t>
  </si>
  <si>
    <t>Mathematical Statistics and Probability.</t>
  </si>
  <si>
    <t>27.0503</t>
  </si>
  <si>
    <t>Mathematics and Statistics.</t>
  </si>
  <si>
    <t>27.0599</t>
  </si>
  <si>
    <t>Statistics, Other.</t>
  </si>
  <si>
    <t>Applied Statistics, General.</t>
  </si>
  <si>
    <t>27.9999</t>
  </si>
  <si>
    <t>Mathematics and Statistics, Other.</t>
  </si>
  <si>
    <t>28.0101</t>
  </si>
  <si>
    <t>Air Force JROTC/ROTC.</t>
  </si>
  <si>
    <t>28.0199</t>
  </si>
  <si>
    <t>Air Force ROTC, Air Science and Operations, Other.</t>
  </si>
  <si>
    <t>28.0301</t>
  </si>
  <si>
    <t>Army JROTC/ROTC.</t>
  </si>
  <si>
    <t>28.0399</t>
  </si>
  <si>
    <t>Army ROTC, Military Science and Operations, Other.</t>
  </si>
  <si>
    <t>28.0401</t>
  </si>
  <si>
    <t>Navy/Marine Corps JROTC/ROTC.</t>
  </si>
  <si>
    <t>28.0499</t>
  </si>
  <si>
    <t>Navy/Marine Corps ROTC, Naval Science and Operations, Other.</t>
  </si>
  <si>
    <t>28.0501</t>
  </si>
  <si>
    <t>Air Science/Airpower Studies.</t>
  </si>
  <si>
    <t>28.0502</t>
  </si>
  <si>
    <t>Air and Space Operational Art and Science.</t>
  </si>
  <si>
    <t>28.0503</t>
  </si>
  <si>
    <t>Military Operational Art and Science/Studies.</t>
  </si>
  <si>
    <t>28.0504</t>
  </si>
  <si>
    <t>Advanced Military and Operational Studies.</t>
  </si>
  <si>
    <t>28.0505</t>
  </si>
  <si>
    <t>Naval Science and Operational Studies.</t>
  </si>
  <si>
    <t>28.0506</t>
  </si>
  <si>
    <t>Special, Irregular and Counterterrorist Operations.</t>
  </si>
  <si>
    <t>28.0599</t>
  </si>
  <si>
    <t>Military Science and Operational Studies, Other.</t>
  </si>
  <si>
    <t>28.0601</t>
  </si>
  <si>
    <t>Strategic Studies, General.</t>
  </si>
  <si>
    <t>28.0602</t>
  </si>
  <si>
    <t>Military and Strategic Leadership.</t>
  </si>
  <si>
    <t>28.0603</t>
  </si>
  <si>
    <t>Military and International Operational Law.</t>
  </si>
  <si>
    <t>28.0604</t>
  </si>
  <si>
    <t>Joint Operations Planning and Strategy.</t>
  </si>
  <si>
    <t>28.0605</t>
  </si>
  <si>
    <t>Weapons of Mass Destruction.</t>
  </si>
  <si>
    <t>28.0699</t>
  </si>
  <si>
    <t>National Security Policy and Strategy, Other.</t>
  </si>
  <si>
    <t>28.0701</t>
  </si>
  <si>
    <t>National Resource Strategy and Policy.</t>
  </si>
  <si>
    <t>28.0702</t>
  </si>
  <si>
    <t>Industry Studies.</t>
  </si>
  <si>
    <t>28.0703</t>
  </si>
  <si>
    <t>Military Installation Management.</t>
  </si>
  <si>
    <t>28.0799</t>
  </si>
  <si>
    <t>Military Economics and Management, Other.</t>
  </si>
  <si>
    <t>28.9999</t>
  </si>
  <si>
    <t>Military Science, Leadership and Operational Art, Other.</t>
  </si>
  <si>
    <t>29.0201</t>
  </si>
  <si>
    <t>Intelligence, General.</t>
  </si>
  <si>
    <t>29.0202</t>
  </si>
  <si>
    <t>Strategic Intelligence.</t>
  </si>
  <si>
    <t>29.0203</t>
  </si>
  <si>
    <t>Signal/Geospatial Intelligence.</t>
  </si>
  <si>
    <t>29.0204</t>
  </si>
  <si>
    <t>Command &amp;amp; Control (C3, C4I) Systems and Operations.</t>
  </si>
  <si>
    <t>29.0205</t>
  </si>
  <si>
    <t>Information Operations/Joint Information Operations.</t>
  </si>
  <si>
    <t>29.0206</t>
  </si>
  <si>
    <t>Information/Psychological Warfare and Military Media Relations.</t>
  </si>
  <si>
    <t>29.0207</t>
  </si>
  <si>
    <t>Cyber/Electronic Operations and Warfare.</t>
  </si>
  <si>
    <t>29.0299</t>
  </si>
  <si>
    <t>Intelligence, Command Control and Information Operations, Other.</t>
  </si>
  <si>
    <t>29.0301</t>
  </si>
  <si>
    <t>Combat Systems Engineering.</t>
  </si>
  <si>
    <t>29.0302</t>
  </si>
  <si>
    <t>Directed Energy Systems.</t>
  </si>
  <si>
    <t>29.0303</t>
  </si>
  <si>
    <t>Engineering Acoustics.</t>
  </si>
  <si>
    <t>29.0304</t>
  </si>
  <si>
    <t>Low-Observables and Stealth Technology.</t>
  </si>
  <si>
    <t>29.0305</t>
  </si>
  <si>
    <t>Space Systems Operations.</t>
  </si>
  <si>
    <t>29.0306</t>
  </si>
  <si>
    <t>Operational Oceanography.</t>
  </si>
  <si>
    <t>29.0307</t>
  </si>
  <si>
    <t>Undersea Warfare.</t>
  </si>
  <si>
    <t>29.0399</t>
  </si>
  <si>
    <t>Military Applied Sciences, Other.</t>
  </si>
  <si>
    <t>29.0401</t>
  </si>
  <si>
    <t>Aerospace Ground Equipment Technology.</t>
  </si>
  <si>
    <t>29.0402</t>
  </si>
  <si>
    <t>Air and Space Operations Technology.</t>
  </si>
  <si>
    <t>29.0403</t>
  </si>
  <si>
    <t>Aircraft Armament Systems Technology.</t>
  </si>
  <si>
    <t>29.0404</t>
  </si>
  <si>
    <t>Explosive Ordinance/Bomb Disposal.</t>
  </si>
  <si>
    <t>29.0405</t>
  </si>
  <si>
    <t>Joint Command/Task Force (C3, C4I) Systems.</t>
  </si>
  <si>
    <t>29.0406</t>
  </si>
  <si>
    <t>Military Information Systems Technology.</t>
  </si>
  <si>
    <t>29.0407</t>
  </si>
  <si>
    <t>Missile and Space Systems Technology.</t>
  </si>
  <si>
    <t>29.0408</t>
  </si>
  <si>
    <t>Munitions Systems/Ordinance Technology.</t>
  </si>
  <si>
    <t>29.0409</t>
  </si>
  <si>
    <t>Radar Communications and Systems Technology.</t>
  </si>
  <si>
    <t>29.0499</t>
  </si>
  <si>
    <t>Military Systems and Maintenance Technology, Other.</t>
  </si>
  <si>
    <t>Military Technology and Applied Sciences Management.</t>
  </si>
  <si>
    <t>29.9999</t>
  </si>
  <si>
    <t>Military Technologies and Applied Sciences, Other.</t>
  </si>
  <si>
    <t>30.0000</t>
  </si>
  <si>
    <t>Multi-/Interdisciplinary Studies, General.</t>
  </si>
  <si>
    <t>Comprehensive Transition and Postsecondary (CTP) Program.</t>
  </si>
  <si>
    <t>30.0101</t>
  </si>
  <si>
    <t>Biological and Physical Sciences.</t>
  </si>
  <si>
    <t>30.0501</t>
  </si>
  <si>
    <t>Peace Studies and Conflict Resolution.</t>
  </si>
  <si>
    <t>30.0601</t>
  </si>
  <si>
    <t>Systems Science and Theory.</t>
  </si>
  <si>
    <t>30.0801</t>
  </si>
  <si>
    <t>Mathematics and Computer Science.</t>
  </si>
  <si>
    <t>30.1001</t>
  </si>
  <si>
    <t>Biopsychology.</t>
  </si>
  <si>
    <t>30.1101</t>
  </si>
  <si>
    <t>Gerontology.</t>
  </si>
  <si>
    <t>30.1201</t>
  </si>
  <si>
    <t>Historic Preservation and Conservation.</t>
  </si>
  <si>
    <t>Historic Preservation and Conservation, General.</t>
  </si>
  <si>
    <t>30.1202</t>
  </si>
  <si>
    <t>Cultural Resource Management and Policy Analysis.</t>
  </si>
  <si>
    <t>30.1299</t>
  </si>
  <si>
    <t>Historic Preservation and Conservation, Other.</t>
  </si>
  <si>
    <t>30.1301</t>
  </si>
  <si>
    <t>Medieval and Renaissance Studies.</t>
  </si>
  <si>
    <t>30.1401</t>
  </si>
  <si>
    <t>Museology/Museum Studies.</t>
  </si>
  <si>
    <t>30.1501</t>
  </si>
  <si>
    <t>Science, Technology and Society.</t>
  </si>
  <si>
    <t>30.1601</t>
  </si>
  <si>
    <t>Accounting and Computer Science.</t>
  </si>
  <si>
    <t>30.1701</t>
  </si>
  <si>
    <t>Behavioral Sciences.</t>
  </si>
  <si>
    <t>30.1801</t>
  </si>
  <si>
    <t>Natural Sciences.</t>
  </si>
  <si>
    <t>30.1901</t>
  </si>
  <si>
    <t>Nutrition Sciences.</t>
  </si>
  <si>
    <t>30.2001</t>
  </si>
  <si>
    <t>International/Global Studies.</t>
  </si>
  <si>
    <t>International/Globalization Studies.</t>
  </si>
  <si>
    <t>30.2101</t>
  </si>
  <si>
    <t>Holocaust and Related Studies.</t>
  </si>
  <si>
    <t>30.2201</t>
  </si>
  <si>
    <t>Ancient Studies/Civilization.</t>
  </si>
  <si>
    <t>30.2202</t>
  </si>
  <si>
    <t>Classical, Ancient Mediterranean and Near Eastern Studies and Archaeology.</t>
  </si>
  <si>
    <t>Classical, Ancient Mediterranean, and Near Eastern Studies and Archaeology.</t>
  </si>
  <si>
    <t>Classical and Ancient Studies, Other.</t>
  </si>
  <si>
    <t>30.2301</t>
  </si>
  <si>
    <t>Intercultural/Multicultural and Diversity Studies.</t>
  </si>
  <si>
    <t>30.2501</t>
  </si>
  <si>
    <t>Cognitive Science.</t>
  </si>
  <si>
    <t>Cognitive Science, General.</t>
  </si>
  <si>
    <t>Contemplative Studies/Inquiry.</t>
  </si>
  <si>
    <t>Cognitive Science, Other.</t>
  </si>
  <si>
    <t>30.2601</t>
  </si>
  <si>
    <t>Cultural Studies/Critical Theory and Analysis.</t>
  </si>
  <si>
    <t>30.2701</t>
  </si>
  <si>
    <t>Human Biology.</t>
  </si>
  <si>
    <t>30.2801</t>
  </si>
  <si>
    <t>Dispute Resolution.</t>
  </si>
  <si>
    <t>30.2901</t>
  </si>
  <si>
    <t>Maritime Studies.</t>
  </si>
  <si>
    <t>30.3001</t>
  </si>
  <si>
    <t>Computational Science.</t>
  </si>
  <si>
    <t>30.3101</t>
  </si>
  <si>
    <t>Human Computer Interaction.</t>
  </si>
  <si>
    <t>30.3201</t>
  </si>
  <si>
    <t>Marine Sciences.</t>
  </si>
  <si>
    <t>30.3301</t>
  </si>
  <si>
    <t>Sustainability Studies.</t>
  </si>
  <si>
    <t>Anthrozoology.</t>
  </si>
  <si>
    <t>Climate Science.</t>
  </si>
  <si>
    <t>Cultural Studies and Comparative Literature.</t>
  </si>
  <si>
    <t>Design for Human Health.</t>
  </si>
  <si>
    <t>Earth Systems Science.</t>
  </si>
  <si>
    <t>Economics and Computer Science.</t>
  </si>
  <si>
    <t>Economics and Foreign Language/Literature.</t>
  </si>
  <si>
    <t>Environmental Geosciences.</t>
  </si>
  <si>
    <t>Geoarcheaology.</t>
  </si>
  <si>
    <t>Geobiology.</t>
  </si>
  <si>
    <t>Geography and Environmental Studies.</t>
  </si>
  <si>
    <t>History and Language/Literature.</t>
  </si>
  <si>
    <t>History and Political Science.</t>
  </si>
  <si>
    <t>Linguistics and Anthropology.</t>
  </si>
  <si>
    <t>Linguistics and Computer Science.</t>
  </si>
  <si>
    <t>Mathematical Economics.</t>
  </si>
  <si>
    <t>Mathematics and Atmospheric/Oceanic Science.</t>
  </si>
  <si>
    <t>Philosophy, Politics, and Economics.</t>
  </si>
  <si>
    <t>Digital Humanities and Textual Studies, General.</t>
  </si>
  <si>
    <t>Digital Humanities.</t>
  </si>
  <si>
    <t>Textual Studies.</t>
  </si>
  <si>
    <t>Digital Humanities and Textual Studies, Other.</t>
  </si>
  <si>
    <t>Thanatology.</t>
  </si>
  <si>
    <t>Data Science, General.</t>
  </si>
  <si>
    <t>Data Science, Other.</t>
  </si>
  <si>
    <t>Data Analytics, General.</t>
  </si>
  <si>
    <t>Business Analytics.</t>
  </si>
  <si>
    <t>Data Visualization.</t>
  </si>
  <si>
    <t>Financial Analytics.</t>
  </si>
  <si>
    <t>Data Analytics, Other.</t>
  </si>
  <si>
    <t>30.9999</t>
  </si>
  <si>
    <t>Multi-/Interdisciplinary Studies, Other.</t>
  </si>
  <si>
    <t>31.0101</t>
  </si>
  <si>
    <t>Parks, Recreation and Leisure Studies.</t>
  </si>
  <si>
    <t>Parks, Recreation, and Leisure Studies.</t>
  </si>
  <si>
    <t>31.0301</t>
  </si>
  <si>
    <t>Parks, Recreation and Leisure Facilities Management, General.</t>
  </si>
  <si>
    <t>Parks, Recreation, and Leisure Facilities Management, General.</t>
  </si>
  <si>
    <t>31.0302</t>
  </si>
  <si>
    <t>Golf Course Operation and Grounds Management.</t>
  </si>
  <si>
    <t>31.0399</t>
  </si>
  <si>
    <t>Parks, Recreation and Leisure Facilities Management, Other.</t>
  </si>
  <si>
    <t>Parks, Recreation, and Leisure Facilities Management, Other.</t>
  </si>
  <si>
    <t>31.0501</t>
  </si>
  <si>
    <t>Health and Physical Education/Fitness, General.</t>
  </si>
  <si>
    <t>Sports, Kinesiology, and Physical Education/Fitness, General.</t>
  </si>
  <si>
    <t>31.0504</t>
  </si>
  <si>
    <t>Sport and Fitness Administration/Management.</t>
  </si>
  <si>
    <t>31.0505</t>
  </si>
  <si>
    <t>Kinesiology and Exercise Science.</t>
  </si>
  <si>
    <t>Exercise Science and Kinesiology.</t>
  </si>
  <si>
    <t>31.0507</t>
  </si>
  <si>
    <t>Physical Fitness Technician.</t>
  </si>
  <si>
    <t>31.0508</t>
  </si>
  <si>
    <t>Sports Studies.</t>
  </si>
  <si>
    <t>31.0599</t>
  </si>
  <si>
    <t>Health and Physical Education/Fitness, Other.</t>
  </si>
  <si>
    <t>Sports, Kinesiology, and Physical Education/Fitness, Other.</t>
  </si>
  <si>
    <t>31.0601</t>
  </si>
  <si>
    <t>Outdoor Education.</t>
  </si>
  <si>
    <t>31.9999</t>
  </si>
  <si>
    <t>Parks, Recreation, Leisure, and Fitness Studies, Other.</t>
  </si>
  <si>
    <t>Parks, Recreation, Leisure, Fitness, and Kinesiology, Other.</t>
  </si>
  <si>
    <t>32.0101</t>
  </si>
  <si>
    <t>Basic Skills and Developmental/Remedial Education, General.</t>
  </si>
  <si>
    <t>32.0104</t>
  </si>
  <si>
    <t>Developmental/Remedial Mathematics.</t>
  </si>
  <si>
    <t>32.0105</t>
  </si>
  <si>
    <t>Job-Seeking/Changing Skills.</t>
  </si>
  <si>
    <t>32.0107</t>
  </si>
  <si>
    <t>Career Exploration/Awareness Skills.</t>
  </si>
  <si>
    <t>32.0108</t>
  </si>
  <si>
    <t>Developmental/Remedial English.</t>
  </si>
  <si>
    <t>32.0109</t>
  </si>
  <si>
    <t>Second Language Learning.</t>
  </si>
  <si>
    <t>32.0110</t>
  </si>
  <si>
    <t>Basic Computer Skills.</t>
  </si>
  <si>
    <t>32.0111</t>
  </si>
  <si>
    <t>Workforce Development and Training.</t>
  </si>
  <si>
    <t>Accent Reduction/Modification.</t>
  </si>
  <si>
    <t>32.0199</t>
  </si>
  <si>
    <t>Basic Skills and Developmental/Remedial Education, Other.</t>
  </si>
  <si>
    <t>Exam Preparation and Test-Taking Skills, General.</t>
  </si>
  <si>
    <t>High School Equivalent Exam Preparation.</t>
  </si>
  <si>
    <t>Undergraduate Entrance/Placement Examination Preparation.</t>
  </si>
  <si>
    <t>Graduate/Professional School Entrance Examination Preparation.</t>
  </si>
  <si>
    <t>Professional Certification/Licensure Examination Preparation.</t>
  </si>
  <si>
    <t>General Exam Preparation and Test-Taking Skills, Other.</t>
  </si>
  <si>
    <t>33.0101</t>
  </si>
  <si>
    <t>Citizenship Activities, General.</t>
  </si>
  <si>
    <t>33.0102</t>
  </si>
  <si>
    <t>American Citizenship Education.</t>
  </si>
  <si>
    <t>33.0103</t>
  </si>
  <si>
    <t>Community Awareness.</t>
  </si>
  <si>
    <t>33.0104</t>
  </si>
  <si>
    <t>Community Involvement.</t>
  </si>
  <si>
    <t>33.0105</t>
  </si>
  <si>
    <t>Canadian Citizenship Education.</t>
  </si>
  <si>
    <t>Personal Emergency Preparedness.</t>
  </si>
  <si>
    <t>33.0199</t>
  </si>
  <si>
    <t>Citizenship Activities, Other.</t>
  </si>
  <si>
    <t>34.0102</t>
  </si>
  <si>
    <t>Birthing and Parenting Knowledge and Skills.</t>
  </si>
  <si>
    <t>34.0103</t>
  </si>
  <si>
    <t>Personal Health Improvement and Maintenance.</t>
  </si>
  <si>
    <t>34.0104</t>
  </si>
  <si>
    <t>Addiction Prevention and Treatment.</t>
  </si>
  <si>
    <t>Meditation/Mind-Body Wellness.</t>
  </si>
  <si>
    <t>34.0199</t>
  </si>
  <si>
    <t>Health-Related Knowledge and Skills, Other.</t>
  </si>
  <si>
    <t>35.0101</t>
  </si>
  <si>
    <t>Interpersonal and Social Skills, General.</t>
  </si>
  <si>
    <t>35.0102</t>
  </si>
  <si>
    <t>Interpersonal Relationships Skills.</t>
  </si>
  <si>
    <t>35.0103</t>
  </si>
  <si>
    <t>Business and Social Skills.</t>
  </si>
  <si>
    <t>Life Coaching.</t>
  </si>
  <si>
    <t>35.0199</t>
  </si>
  <si>
    <t>Interpersonal Social Skills, Other.</t>
  </si>
  <si>
    <t>36.0101</t>
  </si>
  <si>
    <t>Leisure and Recreational Activities, General.</t>
  </si>
  <si>
    <t>36.0102</t>
  </si>
  <si>
    <t>Handicrafts and Model-Making.</t>
  </si>
  <si>
    <t>36.0103</t>
  </si>
  <si>
    <t>Board, Card and Role-Playing Games.</t>
  </si>
  <si>
    <t>36.0105</t>
  </si>
  <si>
    <t>Home Maintenance and Improvement.</t>
  </si>
  <si>
    <t>36.0106</t>
  </si>
  <si>
    <t>Nature Appreciation.</t>
  </si>
  <si>
    <t>36.0107</t>
  </si>
  <si>
    <t>Pet Ownership and Care.</t>
  </si>
  <si>
    <t>36.0108</t>
  </si>
  <si>
    <t>Sports and Exercise.</t>
  </si>
  <si>
    <t>36.0109</t>
  </si>
  <si>
    <t>Travel and Exploration.</t>
  </si>
  <si>
    <t>36.0110</t>
  </si>
  <si>
    <t>Art.</t>
  </si>
  <si>
    <t>36.0111</t>
  </si>
  <si>
    <t>Collecting.</t>
  </si>
  <si>
    <t>36.0112</t>
  </si>
  <si>
    <t>Cooking and Other Domestic Skills.</t>
  </si>
  <si>
    <t>36.0113</t>
  </si>
  <si>
    <t>Computer Games and Programming Skills.</t>
  </si>
  <si>
    <t>36.0114</t>
  </si>
  <si>
    <t>Dancing.</t>
  </si>
  <si>
    <t>36.0115</t>
  </si>
  <si>
    <t>Music.</t>
  </si>
  <si>
    <t>36.0116</t>
  </si>
  <si>
    <t>Reading.</t>
  </si>
  <si>
    <t>36.0117</t>
  </si>
  <si>
    <t>Theatre/Theater.</t>
  </si>
  <si>
    <t>36.0118</t>
  </si>
  <si>
    <t>Writing.</t>
  </si>
  <si>
    <t>36.0119</t>
  </si>
  <si>
    <t>Aircraft Pilot (Private).</t>
  </si>
  <si>
    <t>Beekeeping.</t>
  </si>
  <si>
    <t>Firearms Training/Safety.</t>
  </si>
  <si>
    <t>Floral Design/Arrangement.</t>
  </si>
  <si>
    <t>Master Gardener/Gardening.</t>
  </si>
  <si>
    <t>36.0199</t>
  </si>
  <si>
    <t>Leisure and Recreational Activities, Other.</t>
  </si>
  <si>
    <t>Automobile Driver Education.</t>
  </si>
  <si>
    <t>Helicopter Pilot (Private).</t>
  </si>
  <si>
    <t>Motorcycle Rider Education.</t>
  </si>
  <si>
    <t>Personal Watercraft/Boating Education.</t>
  </si>
  <si>
    <t>Remote Aircraft Pilot.</t>
  </si>
  <si>
    <t>Noncommercial Vehicle Operation, Other.</t>
  </si>
  <si>
    <t>37.0101</t>
  </si>
  <si>
    <t>Self-Awareness and Personal Assessment.</t>
  </si>
  <si>
    <t>37.0102</t>
  </si>
  <si>
    <t>Stress Management and Coping Skills.</t>
  </si>
  <si>
    <t>37.0103</t>
  </si>
  <si>
    <t>Personal Decision-Making Skills.</t>
  </si>
  <si>
    <t>37.0104</t>
  </si>
  <si>
    <t>Self-Esteem and Values Clarification.</t>
  </si>
  <si>
    <t>Investing/Wealth Management/Retirement Planning.</t>
  </si>
  <si>
    <t>Self-Defense.</t>
  </si>
  <si>
    <t>37.0199</t>
  </si>
  <si>
    <t>Personal Awareness and Self-Improvement, Other.</t>
  </si>
  <si>
    <t>38.0001</t>
  </si>
  <si>
    <t>Philosophy and Religious Studies, General.</t>
  </si>
  <si>
    <t>38.0101</t>
  </si>
  <si>
    <t>Philosophy.</t>
  </si>
  <si>
    <t>38.0102</t>
  </si>
  <si>
    <t>Logic.</t>
  </si>
  <si>
    <t>38.0103</t>
  </si>
  <si>
    <t>Ethics.</t>
  </si>
  <si>
    <t>38.0104</t>
  </si>
  <si>
    <t>Applied and Professional Ethics.</t>
  </si>
  <si>
    <t>38.0199</t>
  </si>
  <si>
    <t>Philosophy, Other.</t>
  </si>
  <si>
    <t>38.0201</t>
  </si>
  <si>
    <t>Religion/Religious Studies.</t>
  </si>
  <si>
    <t>38.0202</t>
  </si>
  <si>
    <t>Buddhist Studies.</t>
  </si>
  <si>
    <t>38.0203</t>
  </si>
  <si>
    <t>Christian Studies.</t>
  </si>
  <si>
    <t>38.0204</t>
  </si>
  <si>
    <t>Hindu Studies.</t>
  </si>
  <si>
    <t>38.0205</t>
  </si>
  <si>
    <t>Islamic Studies.</t>
  </si>
  <si>
    <t>38.0206</t>
  </si>
  <si>
    <t>Jewish/Judaic Studies.</t>
  </si>
  <si>
    <t>Catholic Studies.</t>
  </si>
  <si>
    <t>Mormon Studies.</t>
  </si>
  <si>
    <t>38.0299</t>
  </si>
  <si>
    <t>Religion/Religious Studies, Other.</t>
  </si>
  <si>
    <t>38.9999</t>
  </si>
  <si>
    <t>Philosophy and Religious Studies, Other.</t>
  </si>
  <si>
    <t>39.0201</t>
  </si>
  <si>
    <t>Bible/Biblical Studies.</t>
  </si>
  <si>
    <t>39.0301</t>
  </si>
  <si>
    <t>Missions/Missionary Studies and Missiology.</t>
  </si>
  <si>
    <t>Missions/Missionary Studies.</t>
  </si>
  <si>
    <t>Church Planting.</t>
  </si>
  <si>
    <t>Missions/Missionary Studies and Missiology, Other.</t>
  </si>
  <si>
    <t>39.0401</t>
  </si>
  <si>
    <t>Religious Education.</t>
  </si>
  <si>
    <t>39.0501</t>
  </si>
  <si>
    <t>Religious/Sacred Music.</t>
  </si>
  <si>
    <t>Worship Ministry.</t>
  </si>
  <si>
    <t>Religious Music and Worship, Other.</t>
  </si>
  <si>
    <t>39.0601</t>
  </si>
  <si>
    <t>Theology/Theological Studies.</t>
  </si>
  <si>
    <t>39.0602</t>
  </si>
  <si>
    <t>Divinity/Ministry.</t>
  </si>
  <si>
    <t>39.0604</t>
  </si>
  <si>
    <t>Pre-Theology/Pre-Ministerial Studies.</t>
  </si>
  <si>
    <t>39.0605</t>
  </si>
  <si>
    <t>Rabbinical Studies.</t>
  </si>
  <si>
    <t>39.0606</t>
  </si>
  <si>
    <t>Talmudic Studies.</t>
  </si>
  <si>
    <t>39.0699</t>
  </si>
  <si>
    <t>Theological and Ministerial Studies, Other.</t>
  </si>
  <si>
    <t>39.0701</t>
  </si>
  <si>
    <t>Pastoral Studies/Counseling.</t>
  </si>
  <si>
    <t>39.0702</t>
  </si>
  <si>
    <t>Youth Ministry.</t>
  </si>
  <si>
    <t>39.0703</t>
  </si>
  <si>
    <t>Urban Ministry.</t>
  </si>
  <si>
    <t>39.0704</t>
  </si>
  <si>
    <t>Women&amp;#39;s Ministry.</t>
  </si>
  <si>
    <t>39.0705</t>
  </si>
  <si>
    <t>Lay Ministry.</t>
  </si>
  <si>
    <t>Chaplain/Chaplaincy Studies.</t>
  </si>
  <si>
    <t>39.0799</t>
  </si>
  <si>
    <t>Pastoral Counseling and Specialized Ministries, Other.</t>
  </si>
  <si>
    <t>Religious Institution Administration and Management.</t>
  </si>
  <si>
    <t>Religious/Canon Law.</t>
  </si>
  <si>
    <t>Religious Institution Administration and Law, Other.</t>
  </si>
  <si>
    <t>39.9999</t>
  </si>
  <si>
    <t>Theology and Religious Vocations, Other.</t>
  </si>
  <si>
    <t>40.0101</t>
  </si>
  <si>
    <t>Physical Sciences.</t>
  </si>
  <si>
    <t>Physical Sciences, General.</t>
  </si>
  <si>
    <t>40.0201</t>
  </si>
  <si>
    <t>Astronomy.</t>
  </si>
  <si>
    <t>40.0202</t>
  </si>
  <si>
    <t>Astrophysics.</t>
  </si>
  <si>
    <t>40.0203</t>
  </si>
  <si>
    <t>Planetary Astronomy and Science.</t>
  </si>
  <si>
    <t>40.0299</t>
  </si>
  <si>
    <t>Astronomy and Astrophysics, Other.</t>
  </si>
  <si>
    <t>40.0401</t>
  </si>
  <si>
    <t>Atmospheric Sciences and Meteorology, General.</t>
  </si>
  <si>
    <t>40.0402</t>
  </si>
  <si>
    <t>Atmospheric Chemistry and Climatology.</t>
  </si>
  <si>
    <t>40.0403</t>
  </si>
  <si>
    <t>Atmospheric Physics and Dynamics.</t>
  </si>
  <si>
    <t>40.0404</t>
  </si>
  <si>
    <t>Meteorology.</t>
  </si>
  <si>
    <t>40.0499</t>
  </si>
  <si>
    <t>Atmospheric Sciences and Meteorology, Other.</t>
  </si>
  <si>
    <t>40.0501</t>
  </si>
  <si>
    <t>Chemistry, General.</t>
  </si>
  <si>
    <t>40.0502</t>
  </si>
  <si>
    <t>Analytical Chemistry.</t>
  </si>
  <si>
    <t>40.0503</t>
  </si>
  <si>
    <t>Inorganic Chemistry.</t>
  </si>
  <si>
    <t>40.0504</t>
  </si>
  <si>
    <t>Organic Chemistry.</t>
  </si>
  <si>
    <t>40.0506</t>
  </si>
  <si>
    <t>Physical Chemistry.</t>
  </si>
  <si>
    <t>40.0507</t>
  </si>
  <si>
    <t>Polymer Chemistry.</t>
  </si>
  <si>
    <t>40.0508</t>
  </si>
  <si>
    <t>Chemical Physics.</t>
  </si>
  <si>
    <t>40.0509</t>
  </si>
  <si>
    <t>Environmental Chemistry.</t>
  </si>
  <si>
    <t>40.0510</t>
  </si>
  <si>
    <t>Forensic Chemistry.</t>
  </si>
  <si>
    <t>40.0511</t>
  </si>
  <si>
    <t>Theoretical Chemistry.</t>
  </si>
  <si>
    <t>Cheminformatics/Chemistry Informatics.</t>
  </si>
  <si>
    <t>40.0599</t>
  </si>
  <si>
    <t>Chemistry, Other.</t>
  </si>
  <si>
    <t>40.0601</t>
  </si>
  <si>
    <t>Geology/Earth Science, General.</t>
  </si>
  <si>
    <t>40.0602</t>
  </si>
  <si>
    <t>Geochemistry.</t>
  </si>
  <si>
    <t>40.0603</t>
  </si>
  <si>
    <t>Geophysics and Seismology.</t>
  </si>
  <si>
    <t>40.0604</t>
  </si>
  <si>
    <t>Paleontology.</t>
  </si>
  <si>
    <t>40.0605</t>
  </si>
  <si>
    <t>Hydrology and Water Resources Science.</t>
  </si>
  <si>
    <t>40.0606</t>
  </si>
  <si>
    <t>Geochemistry and Petrology.</t>
  </si>
  <si>
    <t>40.0607</t>
  </si>
  <si>
    <t>Oceanography, Chemical and Physical.</t>
  </si>
  <si>
    <t>40.0699</t>
  </si>
  <si>
    <t>Geological and Earth Sciences/Geosciences, Other.</t>
  </si>
  <si>
    <t>40.0801</t>
  </si>
  <si>
    <t>Physics, General.</t>
  </si>
  <si>
    <t>40.0802</t>
  </si>
  <si>
    <t>Atomic/Molecular Physics.</t>
  </si>
  <si>
    <t>40.0804</t>
  </si>
  <si>
    <t>Elementary Particle Physics.</t>
  </si>
  <si>
    <t>40.0805</t>
  </si>
  <si>
    <t>Plasma and High-Temperature Physics.</t>
  </si>
  <si>
    <t>40.0806</t>
  </si>
  <si>
    <t>Nuclear Physics.</t>
  </si>
  <si>
    <t>40.0807</t>
  </si>
  <si>
    <t>Optics/Optical Sciences.</t>
  </si>
  <si>
    <t>40.0808</t>
  </si>
  <si>
    <t>Condensed Matter and Materials Physics.</t>
  </si>
  <si>
    <t>40.0809</t>
  </si>
  <si>
    <t>Acoustics.</t>
  </si>
  <si>
    <t>40.0810</t>
  </si>
  <si>
    <t>Theoretical and Mathematical Physics.</t>
  </si>
  <si>
    <t>40.0899</t>
  </si>
  <si>
    <t>Physics, Other.</t>
  </si>
  <si>
    <t>40.1001</t>
  </si>
  <si>
    <t>Materials Science.</t>
  </si>
  <si>
    <t>40.1002</t>
  </si>
  <si>
    <t>Materials Chemistry.</t>
  </si>
  <si>
    <t>40.1099</t>
  </si>
  <si>
    <t>Materials Sciences, Other.</t>
  </si>
  <si>
    <t>Physics and Astronomy.</t>
  </si>
  <si>
    <t>40.9999</t>
  </si>
  <si>
    <t>Physical Sciences, Other.</t>
  </si>
  <si>
    <t>41.0000</t>
  </si>
  <si>
    <t>Science Technologies/Technicians, General.</t>
  </si>
  <si>
    <t>41.0101</t>
  </si>
  <si>
    <t>Biology Technician/Biotechnology Laboratory Technician.</t>
  </si>
  <si>
    <t>Biology/Biotechnology Technology/Technician.</t>
  </si>
  <si>
    <t>41.0204</t>
  </si>
  <si>
    <t>Industrial Radiologic Technology/Technician.</t>
  </si>
  <si>
    <t>41.0205</t>
  </si>
  <si>
    <t>Nuclear/Nuclear Power Technology/Technician.</t>
  </si>
  <si>
    <t>41.0299</t>
  </si>
  <si>
    <t>Nuclear and Industrial Radiologic Technologies/Technicians, Other.</t>
  </si>
  <si>
    <t>41.0301</t>
  </si>
  <si>
    <t>Chemical Technology/Technician.</t>
  </si>
  <si>
    <t>41.0303</t>
  </si>
  <si>
    <t>Chemical Process Technology.</t>
  </si>
  <si>
    <t>41.0399</t>
  </si>
  <si>
    <t>Physical Science Technologies/Technicians, Other.</t>
  </si>
  <si>
    <t>41.9999</t>
  </si>
  <si>
    <t>Science Technologies/Technicians, Other.</t>
  </si>
  <si>
    <t>42.0101</t>
  </si>
  <si>
    <t>Psychology, General.</t>
  </si>
  <si>
    <t>42.2701</t>
  </si>
  <si>
    <t>Cognitive Psychology and Psycholinguistics.</t>
  </si>
  <si>
    <t>42.2702</t>
  </si>
  <si>
    <t>Comparative Psychology.</t>
  </si>
  <si>
    <t>42.2703</t>
  </si>
  <si>
    <t>Developmental and Child Psychology.</t>
  </si>
  <si>
    <t>42.2704</t>
  </si>
  <si>
    <t>Experimental Psychology.</t>
  </si>
  <si>
    <t>42.2705</t>
  </si>
  <si>
    <t>Personality Psychology.</t>
  </si>
  <si>
    <t>42.2706</t>
  </si>
  <si>
    <t>Physiological Psychology/Psychobiology.</t>
  </si>
  <si>
    <t>Behavioral Neuroscience.</t>
  </si>
  <si>
    <t>42.2707</t>
  </si>
  <si>
    <t>Social Psychology.</t>
  </si>
  <si>
    <t>42.2708</t>
  </si>
  <si>
    <t>Psychometrics and Quantitative Psychology.</t>
  </si>
  <si>
    <t>42.2709</t>
  </si>
  <si>
    <t>Psychopharmacology.</t>
  </si>
  <si>
    <t>Developmental and Adolescent Psychology.</t>
  </si>
  <si>
    <t>42.2799</t>
  </si>
  <si>
    <t>Research and Experimental Psychology, Other.</t>
  </si>
  <si>
    <t>42.2801</t>
  </si>
  <si>
    <t>Clinical Psychology.</t>
  </si>
  <si>
    <t>42.2802</t>
  </si>
  <si>
    <t>Community Psychology.</t>
  </si>
  <si>
    <t>42.2803</t>
  </si>
  <si>
    <t>Counseling Psychology.</t>
  </si>
  <si>
    <t>42.2804</t>
  </si>
  <si>
    <t>Industrial and Organizational Psychology.</t>
  </si>
  <si>
    <t>42.2805</t>
  </si>
  <si>
    <t>School Psychology.</t>
  </si>
  <si>
    <t>42.2806</t>
  </si>
  <si>
    <t>Educational Psychology.</t>
  </si>
  <si>
    <t>42.2807</t>
  </si>
  <si>
    <t>Clinical Child Psychology.</t>
  </si>
  <si>
    <t>42.2808</t>
  </si>
  <si>
    <t>Environmental Psychology.</t>
  </si>
  <si>
    <t>42.2809</t>
  </si>
  <si>
    <t>Geropsychology.</t>
  </si>
  <si>
    <t>42.2810</t>
  </si>
  <si>
    <t>Health/Medical Psychology.</t>
  </si>
  <si>
    <t>42.2811</t>
  </si>
  <si>
    <t>Family Psychology.</t>
  </si>
  <si>
    <t>42.2812</t>
  </si>
  <si>
    <t>Forensic Psychology.</t>
  </si>
  <si>
    <t>42.2813</t>
  </si>
  <si>
    <t>Applied Psychology.</t>
  </si>
  <si>
    <t>42.2814</t>
  </si>
  <si>
    <t>Applied Behavior Analysis.</t>
  </si>
  <si>
    <t>Performance and Sport Psychology.</t>
  </si>
  <si>
    <t>Somatic Psychology.</t>
  </si>
  <si>
    <t>Transpersonal/Spiritual Psychology.</t>
  </si>
  <si>
    <t>42.2899</t>
  </si>
  <si>
    <t>Clinical, Counseling and Applied Psychology, Other.</t>
  </si>
  <si>
    <t>42.9999</t>
  </si>
  <si>
    <t>Psychology, Other.</t>
  </si>
  <si>
    <t>Criminal Justice and Corrections, General.</t>
  </si>
  <si>
    <t>43.0102</t>
  </si>
  <si>
    <t>Corrections.</t>
  </si>
  <si>
    <t>43.0103</t>
  </si>
  <si>
    <t>Criminal Justice/Law Enforcement Administration.</t>
  </si>
  <si>
    <t>43.0104</t>
  </si>
  <si>
    <t>Criminal Justice/Safety Studies.</t>
  </si>
  <si>
    <t>43.0106</t>
  </si>
  <si>
    <t>Forensic Science and Technology.</t>
  </si>
  <si>
    <t>43.0107</t>
  </si>
  <si>
    <t>Criminal Justice/Police Science.</t>
  </si>
  <si>
    <t>43.0109</t>
  </si>
  <si>
    <t>Security and Loss Prevention Services.</t>
  </si>
  <si>
    <t>43.0110</t>
  </si>
  <si>
    <t>Juvenile Corrections.</t>
  </si>
  <si>
    <t>43.0111</t>
  </si>
  <si>
    <t>Criminalistics and Criminal Science.</t>
  </si>
  <si>
    <t>43.0112</t>
  </si>
  <si>
    <t>Securities Services Administration/Management.</t>
  </si>
  <si>
    <t>43.0113</t>
  </si>
  <si>
    <t>Corrections Administration.</t>
  </si>
  <si>
    <t>43.0114</t>
  </si>
  <si>
    <t>Law Enforcement Investigation and Interviewing.</t>
  </si>
  <si>
    <t>43.0115</t>
  </si>
  <si>
    <t>Law Enforcement Record-Keeping and Evidence Management.</t>
  </si>
  <si>
    <t>43.0116</t>
  </si>
  <si>
    <t>Cyber/Computer Forensics and Counterterrorism.</t>
  </si>
  <si>
    <t>43.0117</t>
  </si>
  <si>
    <t>Financial Forensics and Fraud Investigation.</t>
  </si>
  <si>
    <t>43.0118</t>
  </si>
  <si>
    <t>Law Enforcement Intelligence Analysis.</t>
  </si>
  <si>
    <t>43.0119</t>
  </si>
  <si>
    <t>Critical Incident Response/Special Police Operations.</t>
  </si>
  <si>
    <t>43.0120</t>
  </si>
  <si>
    <t>Protective Services Operations.</t>
  </si>
  <si>
    <t>43.0121</t>
  </si>
  <si>
    <t>Suspension and Debarment Investigation.</t>
  </si>
  <si>
    <t>43.0122</t>
  </si>
  <si>
    <t>Maritime Law Enforcement.</t>
  </si>
  <si>
    <t>43.0123</t>
  </si>
  <si>
    <t>Cultural/Archaelogical Resources Protection.</t>
  </si>
  <si>
    <t>43.0199</t>
  </si>
  <si>
    <t>Corrections and Criminal Justice, Other.</t>
  </si>
  <si>
    <t>43.0201</t>
  </si>
  <si>
    <t>Fire Prevention and Safety Technology/Technician.</t>
  </si>
  <si>
    <t>43.0202</t>
  </si>
  <si>
    <t>Fire Services Administration.</t>
  </si>
  <si>
    <t>43.0203</t>
  </si>
  <si>
    <t>Fire Science/Fire-fighting.</t>
  </si>
  <si>
    <t>43.0204</t>
  </si>
  <si>
    <t>Fire Systems Technology.</t>
  </si>
  <si>
    <t>43.0205</t>
  </si>
  <si>
    <t>Fire/Arson Investigation and Prevention.</t>
  </si>
  <si>
    <t>43.0206</t>
  </si>
  <si>
    <t>Wildland/Forest Firefighting and Investigation.</t>
  </si>
  <si>
    <t>43.0299</t>
  </si>
  <si>
    <t>Fire Protection, Other.</t>
  </si>
  <si>
    <t>43.0301</t>
  </si>
  <si>
    <t>Homeland Security.</t>
  </si>
  <si>
    <t>43.0302</t>
  </si>
  <si>
    <t>Crisis/Emergency/Disaster Management.</t>
  </si>
  <si>
    <t>43.0303</t>
  </si>
  <si>
    <t>Critical Infrastructure Protection.</t>
  </si>
  <si>
    <t>43.0304</t>
  </si>
  <si>
    <t>Terrorism and Counterterrorism Operations.</t>
  </si>
  <si>
    <t>43.0399</t>
  </si>
  <si>
    <t>Homeland Security, Other.</t>
  </si>
  <si>
    <t>Security Science and Technology, General.</t>
  </si>
  <si>
    <t>Cybersecurity Defense Strategy/Policy.</t>
  </si>
  <si>
    <t>Geospatial Intelligence.</t>
  </si>
  <si>
    <t>Security Science and Technology, Other.</t>
  </si>
  <si>
    <t>43.9999</t>
  </si>
  <si>
    <t>Homeland Security, Law Enforcement, Firefighting and Related Protective Services, Other.</t>
  </si>
  <si>
    <t>44.0000</t>
  </si>
  <si>
    <t>Human Services, General.</t>
  </si>
  <si>
    <t>44.0201</t>
  </si>
  <si>
    <t>Community Organization and Advocacy.</t>
  </si>
  <si>
    <t>44.0401</t>
  </si>
  <si>
    <t>Public Administration.</t>
  </si>
  <si>
    <t>Public Works Management.</t>
  </si>
  <si>
    <t>Transportation and Infrastructure Planning/Studies.</t>
  </si>
  <si>
    <t>Public Administration, Other.</t>
  </si>
  <si>
    <t>44.0501</t>
  </si>
  <si>
    <t>Public Policy Analysis, General.</t>
  </si>
  <si>
    <t>44.0502</t>
  </si>
  <si>
    <t>Education Policy Analysis.</t>
  </si>
  <si>
    <t>44.0503</t>
  </si>
  <si>
    <t>Health Policy Analysis.</t>
  </si>
  <si>
    <t>44.0504</t>
  </si>
  <si>
    <t>International Policy Analysis.</t>
  </si>
  <si>
    <t>44.0599</t>
  </si>
  <si>
    <t>Public Policy Analysis, Other.</t>
  </si>
  <si>
    <t>44.0701</t>
  </si>
  <si>
    <t>Social Work.</t>
  </si>
  <si>
    <t>44.0702</t>
  </si>
  <si>
    <t>Youth Services/Administration.</t>
  </si>
  <si>
    <t>Forensic Social Work.</t>
  </si>
  <si>
    <t>44.0799</t>
  </si>
  <si>
    <t>Social Work, Other.</t>
  </si>
  <si>
    <t>44.9999</t>
  </si>
  <si>
    <t>Public Administration and Social Service Professions, Other.</t>
  </si>
  <si>
    <t>45.0101</t>
  </si>
  <si>
    <t>Social Sciences, General.</t>
  </si>
  <si>
    <t>45.0102</t>
  </si>
  <si>
    <t>Research Methodology and Quantitative Methods.</t>
  </si>
  <si>
    <t>Survey Research/Methodology.</t>
  </si>
  <si>
    <t>Social Sciences, Other.</t>
  </si>
  <si>
    <t>45.0201</t>
  </si>
  <si>
    <t>Anthropology.</t>
  </si>
  <si>
    <t>Anthropology, General.</t>
  </si>
  <si>
    <t>45.0202</t>
  </si>
  <si>
    <t>Physical and Biological Anthropology.</t>
  </si>
  <si>
    <t>45.0203</t>
  </si>
  <si>
    <t>Medical Anthropology.</t>
  </si>
  <si>
    <t>45.0204</t>
  </si>
  <si>
    <t>Cultural Anthropology.</t>
  </si>
  <si>
    <t>Forensic Anthropology.</t>
  </si>
  <si>
    <t>45.0299</t>
  </si>
  <si>
    <t>Anthropology, Other.</t>
  </si>
  <si>
    <t>45.0301</t>
  </si>
  <si>
    <t>Archeology.</t>
  </si>
  <si>
    <t>45.0401</t>
  </si>
  <si>
    <t>Criminology.</t>
  </si>
  <si>
    <t>45.0501</t>
  </si>
  <si>
    <t>Demography and Population Studies.</t>
  </si>
  <si>
    <t>Applied Demography.</t>
  </si>
  <si>
    <t>Demography, Other.</t>
  </si>
  <si>
    <t>45.0601</t>
  </si>
  <si>
    <t>Economics, General.</t>
  </si>
  <si>
    <t>45.0602</t>
  </si>
  <si>
    <t>Applied Economics.</t>
  </si>
  <si>
    <t>45.0603</t>
  </si>
  <si>
    <t>Econometrics and Quantitative Economics.</t>
  </si>
  <si>
    <t>45.0604</t>
  </si>
  <si>
    <t>Development Economics and International Development.</t>
  </si>
  <si>
    <t>45.0605</t>
  </si>
  <si>
    <t>International Economics.</t>
  </si>
  <si>
    <t>45.0699</t>
  </si>
  <si>
    <t>Economics, Other.</t>
  </si>
  <si>
    <t>45.0701</t>
  </si>
  <si>
    <t>Geography.</t>
  </si>
  <si>
    <t>45.0702</t>
  </si>
  <si>
    <t>Geographic Information Science and Cartography.</t>
  </si>
  <si>
    <t>45.0799</t>
  </si>
  <si>
    <t>Geography, Other.</t>
  </si>
  <si>
    <t>45.0901</t>
  </si>
  <si>
    <t>International Relations and Affairs.</t>
  </si>
  <si>
    <t>45.0902</t>
  </si>
  <si>
    <t>National Security Policy Studies.</t>
  </si>
  <si>
    <t>45.0999</t>
  </si>
  <si>
    <t>International Relations and National Security Studies, Other.</t>
  </si>
  <si>
    <t>45.1001</t>
  </si>
  <si>
    <t>Political Science and Government, General.</t>
  </si>
  <si>
    <t>45.1002</t>
  </si>
  <si>
    <t>American Government and Politics (United States).</t>
  </si>
  <si>
    <t>45.1003</t>
  </si>
  <si>
    <t>Canadian Government and Politics.</t>
  </si>
  <si>
    <t>45.1004</t>
  </si>
  <si>
    <t>Political Economy.</t>
  </si>
  <si>
    <t>45.1099</t>
  </si>
  <si>
    <t>Political Science and Government, Other.</t>
  </si>
  <si>
    <t>45.1101</t>
  </si>
  <si>
    <t>Sociology.</t>
  </si>
  <si>
    <t>Sociology, General.</t>
  </si>
  <si>
    <t>Applied/Public Sociology.</t>
  </si>
  <si>
    <t>Sociology, Other.</t>
  </si>
  <si>
    <t>45.1201</t>
  </si>
  <si>
    <t>Urban Studies/Affairs.</t>
  </si>
  <si>
    <t>45.1301</t>
  </si>
  <si>
    <t>Sociology and Anthropology.</t>
  </si>
  <si>
    <t>45.1401</t>
  </si>
  <si>
    <t>Rural Sociology.</t>
  </si>
  <si>
    <t>Geography and Anthropology.</t>
  </si>
  <si>
    <t>45.9999</t>
  </si>
  <si>
    <t>46.0000</t>
  </si>
  <si>
    <t>Construction Trades, General.</t>
  </si>
  <si>
    <t>46.0101</t>
  </si>
  <si>
    <t>Mason/Masonry.</t>
  </si>
  <si>
    <t>46.0201</t>
  </si>
  <si>
    <t>Carpentry/Carpenter.</t>
  </si>
  <si>
    <t>46.0301</t>
  </si>
  <si>
    <t>Electrical and Power Transmission Installation/Installer, General.</t>
  </si>
  <si>
    <t>46.0302</t>
  </si>
  <si>
    <t>Electrician.</t>
  </si>
  <si>
    <t>46.0303</t>
  </si>
  <si>
    <t>Lineworker.</t>
  </si>
  <si>
    <t>46.0399</t>
  </si>
  <si>
    <t>Electrical and Power Transmission Installers, Other.</t>
  </si>
  <si>
    <t>46.0401</t>
  </si>
  <si>
    <t>Building/Property Maintenance.</t>
  </si>
  <si>
    <t>46.0402</t>
  </si>
  <si>
    <t>Concrete Finishing/Concrete Finisher.</t>
  </si>
  <si>
    <t>46.0403</t>
  </si>
  <si>
    <t>Building/Home/Construction Inspection/Inspector.</t>
  </si>
  <si>
    <t>46.0404</t>
  </si>
  <si>
    <t>Drywall Installation/Drywaller.</t>
  </si>
  <si>
    <t>46.0406</t>
  </si>
  <si>
    <t>Glazier.</t>
  </si>
  <si>
    <t>46.0408</t>
  </si>
  <si>
    <t>Painting/Painter and Wall Coverer.</t>
  </si>
  <si>
    <t>46.0410</t>
  </si>
  <si>
    <t>Roofer.</t>
  </si>
  <si>
    <t>46.0411</t>
  </si>
  <si>
    <t>Metal Building Assembly/Assembler.</t>
  </si>
  <si>
    <t>46.0412</t>
  </si>
  <si>
    <t>Building/Construction Site Management/Manager.</t>
  </si>
  <si>
    <t>46.0413</t>
  </si>
  <si>
    <t>Carpet, Floor, and Tile Worker.</t>
  </si>
  <si>
    <t>46.0414</t>
  </si>
  <si>
    <t>Insulator.</t>
  </si>
  <si>
    <t>46.0415</t>
  </si>
  <si>
    <t>Building Construction Technology.</t>
  </si>
  <si>
    <t>Building Construction Technology/Technician.</t>
  </si>
  <si>
    <t>46.0499</t>
  </si>
  <si>
    <t>Building/Construction Finishing, Management, and Inspection, Other.</t>
  </si>
  <si>
    <t>46.0502</t>
  </si>
  <si>
    <t>Pipefitting/Pipefitter and Sprinkler Fitter.</t>
  </si>
  <si>
    <t>46.0503</t>
  </si>
  <si>
    <t>Plumbing Technology/Plumber.</t>
  </si>
  <si>
    <t>46.0504</t>
  </si>
  <si>
    <t>Well Drilling/Driller.</t>
  </si>
  <si>
    <t>46.0505</t>
  </si>
  <si>
    <t>Blasting/Blaster.</t>
  </si>
  <si>
    <t>46.0599</t>
  </si>
  <si>
    <t>Plumbing and Related Water Supply Services, Other.</t>
  </si>
  <si>
    <t>46.9999</t>
  </si>
  <si>
    <t>Construction Trades, Other.</t>
  </si>
  <si>
    <t>47.0000</t>
  </si>
  <si>
    <t>Mechanics and Repairers, General.</t>
  </si>
  <si>
    <t>47.0101</t>
  </si>
  <si>
    <t>Electrical/Electronics Equipment Installation and Repair, General.</t>
  </si>
  <si>
    <t>Electrical/Electronics Equipment Installation and Repair Technology/Technician, General.</t>
  </si>
  <si>
    <t>47.0102</t>
  </si>
  <si>
    <t>Business Machine Repair.</t>
  </si>
  <si>
    <t>47.0103</t>
  </si>
  <si>
    <t>Communications Systems Installation and Repair Technology.</t>
  </si>
  <si>
    <t>Communications Systems Installation and Repair Technology/Technician.</t>
  </si>
  <si>
    <t>47.0104</t>
  </si>
  <si>
    <t>Computer Installation and Repair Technology/Technician.</t>
  </si>
  <si>
    <t>47.0105</t>
  </si>
  <si>
    <t>Industrial Electronics Technology/Technician.</t>
  </si>
  <si>
    <t>47.0106</t>
  </si>
  <si>
    <t>Appliance Installation and Repair Technology/Technician.</t>
  </si>
  <si>
    <t>47.0110</t>
  </si>
  <si>
    <t>Security System Installation, Repair, and Inspection Technology/Technician.</t>
  </si>
  <si>
    <t>47.0199</t>
  </si>
  <si>
    <t>Electrical/Electronics Maintenance and Repair Technology, Other.</t>
  </si>
  <si>
    <t>Electrical/Electronics Maintenance and Repair Technologies/Technicians, Other.</t>
  </si>
  <si>
    <t>47.0201</t>
  </si>
  <si>
    <t>Heating, Air Conditioning, Ventilation and Refrigeration Maintenance Technology/Technician.</t>
  </si>
  <si>
    <t>47.0302</t>
  </si>
  <si>
    <t>Heavy Equipment Maintenance Technology/Technician.</t>
  </si>
  <si>
    <t>47.0303</t>
  </si>
  <si>
    <t>Industrial Mechanics and Maintenance Technology.</t>
  </si>
  <si>
    <t>Industrial Mechanics and Maintenance Technology/Technician.</t>
  </si>
  <si>
    <t>47.0399</t>
  </si>
  <si>
    <t>Heavy/Industrial Equipment Maintenance Technologies, Other.</t>
  </si>
  <si>
    <t>Heavy/Industrial Equipment Maintenance Technologies/Technicians, Other.</t>
  </si>
  <si>
    <t>47.0402</t>
  </si>
  <si>
    <t>Gunsmithing/Gunsmith.</t>
  </si>
  <si>
    <t>47.0403</t>
  </si>
  <si>
    <t>Locksmithing and Safe Repair.</t>
  </si>
  <si>
    <t>47.0404</t>
  </si>
  <si>
    <t>Musical Instrument Fabrication and Repair.</t>
  </si>
  <si>
    <t>47.0408</t>
  </si>
  <si>
    <t>Watchmaking and Jewelrymaking.</t>
  </si>
  <si>
    <t>47.0409</t>
  </si>
  <si>
    <t>Parts and Warehousing Operations and Maintenance Technology/Technician.</t>
  </si>
  <si>
    <t>47.0499</t>
  </si>
  <si>
    <t>Precision Systems Maintenance and Repair Technologies, Other.</t>
  </si>
  <si>
    <t>Precision Systems Maintenance and Repair Technologies/Technicians, Other.</t>
  </si>
  <si>
    <t>47.0600</t>
  </si>
  <si>
    <t>Vehicle Maintenance and Repair Technologies, General.</t>
  </si>
  <si>
    <t>Vehicle Maintenance and Repair Technology/Technician, General.</t>
  </si>
  <si>
    <t>47.0603</t>
  </si>
  <si>
    <t>Autobody/Collision and Repair Technology/Technician.</t>
  </si>
  <si>
    <t>47.0604</t>
  </si>
  <si>
    <t>Automobile/Automotive Mechanics Technology/Technician.</t>
  </si>
  <si>
    <t>47.0605</t>
  </si>
  <si>
    <t>Diesel Mechanics Technology/Technician.</t>
  </si>
  <si>
    <t>47.0606</t>
  </si>
  <si>
    <t>Small Engine Mechanics and Repair Technology/Technician.</t>
  </si>
  <si>
    <t>47.0607</t>
  </si>
  <si>
    <t>Airframe Mechanics and Aircraft Maintenance Technology/Technician.</t>
  </si>
  <si>
    <t>47.0608</t>
  </si>
  <si>
    <t>Aircraft Powerplant Technology/Technician.</t>
  </si>
  <si>
    <t>47.0609</t>
  </si>
  <si>
    <t>Avionics Maintenance Technology/Technician.</t>
  </si>
  <si>
    <t>47.0610</t>
  </si>
  <si>
    <t>Bicycle Mechanics and Repair Technology/Technician.</t>
  </si>
  <si>
    <t>47.0611</t>
  </si>
  <si>
    <t>Motorcycle Maintenance and Repair Technology/Technician.</t>
  </si>
  <si>
    <t>47.0612</t>
  </si>
  <si>
    <t>Vehicle Emissions Inspection and Maintenance Technology/Technician.</t>
  </si>
  <si>
    <t>47.0613</t>
  </si>
  <si>
    <t>Medium/Heavy Vehicle and Truck Technology/Technician.</t>
  </si>
  <si>
    <t>47.0614</t>
  </si>
  <si>
    <t>Alternative Fuel Vehicle Technology/Technician.</t>
  </si>
  <si>
    <t>47.0615</t>
  </si>
  <si>
    <t>Engine Machinist.</t>
  </si>
  <si>
    <t>47.0616</t>
  </si>
  <si>
    <t>Marine Maintenance/Fitter and Ship Repair Technology/Technician.</t>
  </si>
  <si>
    <t>47.0617</t>
  </si>
  <si>
    <t>High Performance and Custom Engine Technician/Mechanic.</t>
  </si>
  <si>
    <t>47.0618</t>
  </si>
  <si>
    <t>Recreation Vehicle (RV) Service Technician.</t>
  </si>
  <si>
    <t>47.0699</t>
  </si>
  <si>
    <t>Vehicle Maintenance and Repair Technologies, Other.</t>
  </si>
  <si>
    <t>Vehicle Maintenance and Repair Technologies/Technicians, Other.</t>
  </si>
  <si>
    <t>Energy Systems Installation and Repair Technology/Technician.</t>
  </si>
  <si>
    <t>Solar Energy System Installation and Repair Technology/Technician.</t>
  </si>
  <si>
    <t>Wind Energy System Installation and Repair Technology/Technician.</t>
  </si>
  <si>
    <t>Hydroelectric Energy System Installation and Repair Technology/Technician.</t>
  </si>
  <si>
    <t>Geothermal Energy System Installation and Repair Technology/Technician.</t>
  </si>
  <si>
    <t>Energy Systems Maintenance and Repair Technologies/Technicians, Other.</t>
  </si>
  <si>
    <t>47.9999</t>
  </si>
  <si>
    <t>Mechanic and Repair Technologies/Technicians, Other.</t>
  </si>
  <si>
    <t>48.0000</t>
  </si>
  <si>
    <t>Precision Production Trades, General.</t>
  </si>
  <si>
    <t>48.0303</t>
  </si>
  <si>
    <t>Upholstery/Upholsterer.</t>
  </si>
  <si>
    <t>48.0304</t>
  </si>
  <si>
    <t>Shoe, Boot and Leather Repair.</t>
  </si>
  <si>
    <t>48.0399</t>
  </si>
  <si>
    <t>Leatherworking and Upholstery, Other.</t>
  </si>
  <si>
    <t>48.0501</t>
  </si>
  <si>
    <t>Machine Tool Technology/Machinist.</t>
  </si>
  <si>
    <t>48.0503</t>
  </si>
  <si>
    <t>Machine Shop Technology/Assistant.</t>
  </si>
  <si>
    <t>48.0506</t>
  </si>
  <si>
    <t>Sheet Metal Technology/Sheetworking.</t>
  </si>
  <si>
    <t>48.0507</t>
  </si>
  <si>
    <t>Tool and Die Technology/Technician.</t>
  </si>
  <si>
    <t>48.0508</t>
  </si>
  <si>
    <t>Welding Technology/Welder.</t>
  </si>
  <si>
    <t>48.0509</t>
  </si>
  <si>
    <t>Ironworking/Ironworker.</t>
  </si>
  <si>
    <t>48.0510</t>
  </si>
  <si>
    <t>Computer Numerically Controlled (CNC) Machinist Technology/CNC Machinist.</t>
  </si>
  <si>
    <t>48.0511</t>
  </si>
  <si>
    <t>Metal Fabricator.</t>
  </si>
  <si>
    <t>48.0599</t>
  </si>
  <si>
    <t>Precision Metal Working, Other.</t>
  </si>
  <si>
    <t>48.0701</t>
  </si>
  <si>
    <t>Woodworking, General.</t>
  </si>
  <si>
    <t>48.0702</t>
  </si>
  <si>
    <t>Furniture Design and Manufacturing.</t>
  </si>
  <si>
    <t>48.0703</t>
  </si>
  <si>
    <t>Cabinetmaking and Millwork.</t>
  </si>
  <si>
    <t>Wooden Boatbuilding Technology/Technician.</t>
  </si>
  <si>
    <t>48.0799</t>
  </si>
  <si>
    <t>Woodworking, Other.</t>
  </si>
  <si>
    <t>48.0801</t>
  </si>
  <si>
    <t>Boilermaking/Boilermaker.</t>
  </si>
  <si>
    <t>48.9999</t>
  </si>
  <si>
    <t>Precision Production, Other.</t>
  </si>
  <si>
    <t>49.0101</t>
  </si>
  <si>
    <t>Aeronautics/Aviation/Aerospace Science and Technology, General.</t>
  </si>
  <si>
    <t>49.0102</t>
  </si>
  <si>
    <t>Airline/Commercial/Professional Pilot and Flight Crew.</t>
  </si>
  <si>
    <t>49.0104</t>
  </si>
  <si>
    <t>Aviation/Airway Management and Operations.</t>
  </si>
  <si>
    <t>49.0105</t>
  </si>
  <si>
    <t>Air Traffic Controller.</t>
  </si>
  <si>
    <t>49.0106</t>
  </si>
  <si>
    <t>Airline Flight Attendant.</t>
  </si>
  <si>
    <t>49.0108</t>
  </si>
  <si>
    <t>Flight Instructor.</t>
  </si>
  <si>
    <t>49.0199</t>
  </si>
  <si>
    <t>Air Transportation, Other.</t>
  </si>
  <si>
    <t>49.0202</t>
  </si>
  <si>
    <t>Construction/Heavy Equipment/Earthmoving Equipment Operation.</t>
  </si>
  <si>
    <t>49.0205</t>
  </si>
  <si>
    <t>Truck and Bus Driver/Commercial Vehicle Operator and Instructor.</t>
  </si>
  <si>
    <t>49.0206</t>
  </si>
  <si>
    <t>Mobil Crane Operation/Operator.</t>
  </si>
  <si>
    <t>Mobil Crane Operator/Operation.</t>
  </si>
  <si>
    <t>49.0207</t>
  </si>
  <si>
    <t>Flagging and Traffic Control.</t>
  </si>
  <si>
    <t>49.0208</t>
  </si>
  <si>
    <t>Railroad and Railway Transportation.</t>
  </si>
  <si>
    <t>Forklift Operation/Operator.</t>
  </si>
  <si>
    <t>49.0299</t>
  </si>
  <si>
    <t>Ground Transportation, Other.</t>
  </si>
  <si>
    <t>49.0303</t>
  </si>
  <si>
    <t>Commercial Fishing.</t>
  </si>
  <si>
    <t>49.0304</t>
  </si>
  <si>
    <t>Diver, Professional and Instructor.</t>
  </si>
  <si>
    <t>49.0309</t>
  </si>
  <si>
    <t>Marine Science/Merchant Marine Officer.</t>
  </si>
  <si>
    <t>49.0399</t>
  </si>
  <si>
    <t>Marine Transportation, Other.</t>
  </si>
  <si>
    <t>49.9999</t>
  </si>
  <si>
    <t>Transportation and Materials Moving, Other.</t>
  </si>
  <si>
    <t>50.0101</t>
  </si>
  <si>
    <t>Visual and Performing Arts, General.</t>
  </si>
  <si>
    <t>50.0102</t>
  </si>
  <si>
    <t>Digital Arts.</t>
  </si>
  <si>
    <t>50.0201</t>
  </si>
  <si>
    <t>Crafts/Craft Design, Folk Art and Artisanry.</t>
  </si>
  <si>
    <t>50.0301</t>
  </si>
  <si>
    <t>Dance, General.</t>
  </si>
  <si>
    <t>50.0302</t>
  </si>
  <si>
    <t>Ballet.</t>
  </si>
  <si>
    <t>50.0399</t>
  </si>
  <si>
    <t>Dance, Other.</t>
  </si>
  <si>
    <t>50.0401</t>
  </si>
  <si>
    <t>Design and Visual Communications, General.</t>
  </si>
  <si>
    <t>50.0402</t>
  </si>
  <si>
    <t>Commercial and Advertising Art.</t>
  </si>
  <si>
    <t>50.0404</t>
  </si>
  <si>
    <t>Industrial and Product Design.</t>
  </si>
  <si>
    <t>50.0406</t>
  </si>
  <si>
    <t>Commercial Photography.</t>
  </si>
  <si>
    <t>50.0407</t>
  </si>
  <si>
    <t>Fashion/Apparel Design.</t>
  </si>
  <si>
    <t>50.0408</t>
  </si>
  <si>
    <t>Interior Design.</t>
  </si>
  <si>
    <t>50.0409</t>
  </si>
  <si>
    <t>Graphic Design.</t>
  </si>
  <si>
    <t>50.0410</t>
  </si>
  <si>
    <t>Illustration.</t>
  </si>
  <si>
    <t>50.0411</t>
  </si>
  <si>
    <t>Game and Interactive Media Design.</t>
  </si>
  <si>
    <t>50.0499</t>
  </si>
  <si>
    <t>Design and Applied Arts, Other.</t>
  </si>
  <si>
    <t>50.0501</t>
  </si>
  <si>
    <t>Drama and Dramatics/Theatre Arts, General.</t>
  </si>
  <si>
    <t>50.0502</t>
  </si>
  <si>
    <t>Technical Theatre/Theatre Design and Technology.</t>
  </si>
  <si>
    <t>50.0504</t>
  </si>
  <si>
    <t>Playwriting and Screenwriting.</t>
  </si>
  <si>
    <t>50.0505</t>
  </si>
  <si>
    <t>Theatre Literature, History and Criticism.</t>
  </si>
  <si>
    <t>50.0506</t>
  </si>
  <si>
    <t>Acting.</t>
  </si>
  <si>
    <t>50.0507</t>
  </si>
  <si>
    <t>Directing and Theatrical Production.</t>
  </si>
  <si>
    <t>50.0509</t>
  </si>
  <si>
    <t>Musical Theatre.</t>
  </si>
  <si>
    <t>50.0510</t>
  </si>
  <si>
    <t>Costume Design.</t>
  </si>
  <si>
    <t>Comedy Writing and Performance.</t>
  </si>
  <si>
    <t>Theatre and Dance.</t>
  </si>
  <si>
    <t>50.0599</t>
  </si>
  <si>
    <t>Dramatic/Theatre Arts and Stagecraft, Other.</t>
  </si>
  <si>
    <t>50.0601</t>
  </si>
  <si>
    <t>Film/Cinema/Video Studies.</t>
  </si>
  <si>
    <t>Film/Cinema/Media Studies.</t>
  </si>
  <si>
    <t>50.0602</t>
  </si>
  <si>
    <t>Cinematography and Film/Video Production.</t>
  </si>
  <si>
    <t>50.0605</t>
  </si>
  <si>
    <t>Photography.</t>
  </si>
  <si>
    <t>50.0607</t>
  </si>
  <si>
    <t>Documentary Production.</t>
  </si>
  <si>
    <t>50.0699</t>
  </si>
  <si>
    <t>Film/Video and Photographic Arts, Other.</t>
  </si>
  <si>
    <t>50.0701</t>
  </si>
  <si>
    <t>Art/Art Studies, General.</t>
  </si>
  <si>
    <t>50.0702</t>
  </si>
  <si>
    <t>Fine/Studio Arts, General.</t>
  </si>
  <si>
    <t>50.0703</t>
  </si>
  <si>
    <t>Art History, Criticism and Conservation.</t>
  </si>
  <si>
    <t>50.0705</t>
  </si>
  <si>
    <t>Drawing.</t>
  </si>
  <si>
    <t>50.0706</t>
  </si>
  <si>
    <t>Intermedia/Multimedia.</t>
  </si>
  <si>
    <t>50.0708</t>
  </si>
  <si>
    <t>Painting.</t>
  </si>
  <si>
    <t>50.0709</t>
  </si>
  <si>
    <t>Sculpture.</t>
  </si>
  <si>
    <t>50.0710</t>
  </si>
  <si>
    <t>Printmaking.</t>
  </si>
  <si>
    <t>50.0711</t>
  </si>
  <si>
    <t>Ceramic Arts and Ceramics.</t>
  </si>
  <si>
    <t>50.0712</t>
  </si>
  <si>
    <t>Fiber, Textile and Weaving Arts.</t>
  </si>
  <si>
    <t>50.0713</t>
  </si>
  <si>
    <t>Metal and Jewelry Arts.</t>
  </si>
  <si>
    <t>Jewelry Arts.</t>
  </si>
  <si>
    <t>Metal Arts.</t>
  </si>
  <si>
    <t>50.0799</t>
  </si>
  <si>
    <t>Fine Arts and Art Studies, Other.</t>
  </si>
  <si>
    <t>50.0901</t>
  </si>
  <si>
    <t>Music, General.</t>
  </si>
  <si>
    <t>50.0902</t>
  </si>
  <si>
    <t>Music History, Literature, and Theory.</t>
  </si>
  <si>
    <t>50.0903</t>
  </si>
  <si>
    <t>Music Performance, General.</t>
  </si>
  <si>
    <t>50.0904</t>
  </si>
  <si>
    <t>Music Theory and Composition.</t>
  </si>
  <si>
    <t>50.0905</t>
  </si>
  <si>
    <t>Musicology and Ethnomusicology.</t>
  </si>
  <si>
    <t>50.0906</t>
  </si>
  <si>
    <t>Conducting.</t>
  </si>
  <si>
    <t>50.0907</t>
  </si>
  <si>
    <t>Keyboard Instruments.</t>
  </si>
  <si>
    <t>50.0908</t>
  </si>
  <si>
    <t>Voice and Opera.</t>
  </si>
  <si>
    <t>50.0910</t>
  </si>
  <si>
    <t>Jazz/Jazz Studies.</t>
  </si>
  <si>
    <t>50.0911</t>
  </si>
  <si>
    <t>Stringed Instruments.</t>
  </si>
  <si>
    <t>50.0912</t>
  </si>
  <si>
    <t>Music Pedagogy.</t>
  </si>
  <si>
    <t>50.0913</t>
  </si>
  <si>
    <t>Music Technology.</t>
  </si>
  <si>
    <t>50.0914</t>
  </si>
  <si>
    <t>Brass Instruments.</t>
  </si>
  <si>
    <t>50.0915</t>
  </si>
  <si>
    <t>Woodwind Instruments.</t>
  </si>
  <si>
    <t>50.0916</t>
  </si>
  <si>
    <t>Percussion Instruments.</t>
  </si>
  <si>
    <t>Sound Arts.</t>
  </si>
  <si>
    <t>50.0999</t>
  </si>
  <si>
    <t>Music, Other.</t>
  </si>
  <si>
    <t>50.1001</t>
  </si>
  <si>
    <t>Arts, Entertainment,and Media Management, General.</t>
  </si>
  <si>
    <t>Arts, Entertainment, and Media Management, General.</t>
  </si>
  <si>
    <t>50.1002</t>
  </si>
  <si>
    <t>Fine and Studio Arts Management.</t>
  </si>
  <si>
    <t>50.1003</t>
  </si>
  <si>
    <t>Music Management.</t>
  </si>
  <si>
    <t>50.1004</t>
  </si>
  <si>
    <t>Theatre/Theatre Arts Management.</t>
  </si>
  <si>
    <t>50.1099</t>
  </si>
  <si>
    <t>Arts, Entertainment, and Media Management, Other.</t>
  </si>
  <si>
    <t>Community/Environmental/Socially-Engaged Art.</t>
  </si>
  <si>
    <t>50.9999</t>
  </si>
  <si>
    <t>Visual and Performing Arts, Other.</t>
  </si>
  <si>
    <t>51.0000</t>
  </si>
  <si>
    <t>Health Services/Allied Health/Health Sciences, General.</t>
  </si>
  <si>
    <t>51.0001</t>
  </si>
  <si>
    <t>Health and Wellness, General.</t>
  </si>
  <si>
    <t>51.0101</t>
  </si>
  <si>
    <t>Chiropractic.</t>
  </si>
  <si>
    <t>51.0201</t>
  </si>
  <si>
    <t>Communication Sciences and Disorders, General.</t>
  </si>
  <si>
    <t>51.0202</t>
  </si>
  <si>
    <t>Audiology/Audiologist.</t>
  </si>
  <si>
    <t>51.0203</t>
  </si>
  <si>
    <t>Speech-Language Pathology/Pathologist.</t>
  </si>
  <si>
    <t>51.0204</t>
  </si>
  <si>
    <t>Audiology/Audiologist and Speech-Language Pathology/Pathologist.</t>
  </si>
  <si>
    <t>51.0299</t>
  </si>
  <si>
    <t>Communication Disorders Sciences and Services, Other.</t>
  </si>
  <si>
    <t>51.0401</t>
  </si>
  <si>
    <t>Dentistry.</t>
  </si>
  <si>
    <t>51.0501</t>
  </si>
  <si>
    <t>Dental Clinical Sciences, General.</t>
  </si>
  <si>
    <t>51.0502</t>
  </si>
  <si>
    <t>Advanced General Dentistry.</t>
  </si>
  <si>
    <t>51.0503</t>
  </si>
  <si>
    <t>Oral Biology and Oral and Maxillofacial Pathology.</t>
  </si>
  <si>
    <t>51.0504</t>
  </si>
  <si>
    <t>Dental Public Health and Education.</t>
  </si>
  <si>
    <t>51.0505</t>
  </si>
  <si>
    <t>Dental Materials.</t>
  </si>
  <si>
    <t>51.0506</t>
  </si>
  <si>
    <t>Endodontics/Endodontology.</t>
  </si>
  <si>
    <t>51.0507</t>
  </si>
  <si>
    <t>Oral/Maxillofacial Surgery.</t>
  </si>
  <si>
    <t>51.0508</t>
  </si>
  <si>
    <t>Orthodontics/Orthodontology.</t>
  </si>
  <si>
    <t>51.0509</t>
  </si>
  <si>
    <t>Pediatric Dentistry/Pedodontics.</t>
  </si>
  <si>
    <t>51.0510</t>
  </si>
  <si>
    <t>Periodontics/Periodontology.</t>
  </si>
  <si>
    <t>51.0511</t>
  </si>
  <si>
    <t>Prosthodontics/Prosthodontology.</t>
  </si>
  <si>
    <t>Digital Dentistry.</t>
  </si>
  <si>
    <t>Geriatric Dentistry.</t>
  </si>
  <si>
    <t>Implantology/Implant Dentistry.</t>
  </si>
  <si>
    <t>51.0599</t>
  </si>
  <si>
    <t>Advanced/Graduate Dentistry and Oral Sciences, Other.</t>
  </si>
  <si>
    <t>51.0601</t>
  </si>
  <si>
    <t>Dental Assisting/Assistant.</t>
  </si>
  <si>
    <t>51.0602</t>
  </si>
  <si>
    <t>Dental Hygiene/Hygienist.</t>
  </si>
  <si>
    <t>51.0603</t>
  </si>
  <si>
    <t>Dental Laboratory Technology/Technician.</t>
  </si>
  <si>
    <t>51.0699</t>
  </si>
  <si>
    <t>Dental Services and Allied Professions, Other.</t>
  </si>
  <si>
    <t>51.0701</t>
  </si>
  <si>
    <t>Health/Health Care Administration/Management.</t>
  </si>
  <si>
    <t>51.0702</t>
  </si>
  <si>
    <t>Hospital and Health Care Facilities Administration/Management.</t>
  </si>
  <si>
    <t>51.0703</t>
  </si>
  <si>
    <t>Health Unit Coordinator/Ward Clerk.</t>
  </si>
  <si>
    <t>51.0704</t>
  </si>
  <si>
    <t>Health Unit Manager/Ward Supervisor.</t>
  </si>
  <si>
    <t>51.0705</t>
  </si>
  <si>
    <t>Medical Office Management/Administration.</t>
  </si>
  <si>
    <t>51.0706</t>
  </si>
  <si>
    <t>Health Information/Medical Records Administration/Administrator.</t>
  </si>
  <si>
    <t>51.0707</t>
  </si>
  <si>
    <t>Health Information/Medical Records Technology/Technician.</t>
  </si>
  <si>
    <t>51.0708</t>
  </si>
  <si>
    <t>Medical Transcription/Transcriptionist.</t>
  </si>
  <si>
    <t>51.0709</t>
  </si>
  <si>
    <t>Medical Office Computer Specialist/Assistant.</t>
  </si>
  <si>
    <t>51.0710</t>
  </si>
  <si>
    <t>Medical Office Assistant/Specialist.</t>
  </si>
  <si>
    <t>51.0711</t>
  </si>
  <si>
    <t>Medical/Health Management and Clinical Assistant/Specialist.</t>
  </si>
  <si>
    <t>51.0712</t>
  </si>
  <si>
    <t>Medical Reception/Receptionist.</t>
  </si>
  <si>
    <t>51.0713</t>
  </si>
  <si>
    <t>Medical Insurance Coding Specialist/Coder.</t>
  </si>
  <si>
    <t>51.0714</t>
  </si>
  <si>
    <t>Medical Insurance Specialist/Medical Biller.</t>
  </si>
  <si>
    <t>51.0715</t>
  </si>
  <si>
    <t>Health/Medical Claims Examiner.</t>
  </si>
  <si>
    <t>51.0716</t>
  </si>
  <si>
    <t>Medical Administrative/Executive Assistant and Medical Secretary.</t>
  </si>
  <si>
    <t>51.0717</t>
  </si>
  <si>
    <t>Medical Staff Services Technology/Technician.</t>
  </si>
  <si>
    <t>51.0718</t>
  </si>
  <si>
    <t>Long Term Care Administration/Management.</t>
  </si>
  <si>
    <t>51.0719</t>
  </si>
  <si>
    <t>Clinical Research Coordinator.</t>
  </si>
  <si>
    <t>Regulatory Science/Affairs.</t>
  </si>
  <si>
    <t>Disease Registry Data Management.</t>
  </si>
  <si>
    <t>Healthcare Innovation.</t>
  </si>
  <si>
    <t>Healthcare Information Privacy Assurance and Security.</t>
  </si>
  <si>
    <t>51.0799</t>
  </si>
  <si>
    <t>Health and Medical Administrative Services, Other.</t>
  </si>
  <si>
    <t>51.0801</t>
  </si>
  <si>
    <t>Medical/Clinical Assistant.</t>
  </si>
  <si>
    <t>51.0802</t>
  </si>
  <si>
    <t>Clinical/Medical Laboratory Assistant.</t>
  </si>
  <si>
    <t>51.0803</t>
  </si>
  <si>
    <t>Occupational Therapist Assistant.</t>
  </si>
  <si>
    <t>51.0805</t>
  </si>
  <si>
    <t>Pharmacy Technician/Assistant.</t>
  </si>
  <si>
    <t>51.0806</t>
  </si>
  <si>
    <t>Physical Therapy Technician/Assistant.</t>
  </si>
  <si>
    <t>Physical Therapy Assistant.</t>
  </si>
  <si>
    <t>51.0808</t>
  </si>
  <si>
    <t>Veterinary/Animal Health Technology/Technician and Veterinary Assistant.</t>
  </si>
  <si>
    <t>51.0809</t>
  </si>
  <si>
    <t>Anesthesiologist Assistant.</t>
  </si>
  <si>
    <t>51.0810</t>
  </si>
  <si>
    <t>Emergency Care Attendant (EMT Ambulance).</t>
  </si>
  <si>
    <t>51.0811</t>
  </si>
  <si>
    <t>Pathology/Pathologist Assistant.</t>
  </si>
  <si>
    <t>51.0812</t>
  </si>
  <si>
    <t>Respiratory Therapy Technician/Assistant.</t>
  </si>
  <si>
    <t>51.0813</t>
  </si>
  <si>
    <t>Chiropractic Assistant/Technician.</t>
  </si>
  <si>
    <t>Chiropractic Technician/Assistant.</t>
  </si>
  <si>
    <t>51.0814</t>
  </si>
  <si>
    <t>Radiologist Assistant.</t>
  </si>
  <si>
    <t>51.0815</t>
  </si>
  <si>
    <t>Lactation Consultant.</t>
  </si>
  <si>
    <t>51.0816</t>
  </si>
  <si>
    <t>Speech-Language Pathology Assistant.</t>
  </si>
  <si>
    <t>51.0899</t>
  </si>
  <si>
    <t>Allied Health and Medical Assisting Services, Other.</t>
  </si>
  <si>
    <t>51.0901</t>
  </si>
  <si>
    <t>Cardiovascular Technology/Technologist.</t>
  </si>
  <si>
    <t>51.0902</t>
  </si>
  <si>
    <t>Electrocardiograph Technology/Technician.</t>
  </si>
  <si>
    <t>51.0903</t>
  </si>
  <si>
    <t>Electroneurodiagnostic/Electroencephalographic Technology/Technologist.</t>
  </si>
  <si>
    <t>51.0904</t>
  </si>
  <si>
    <t>Emergency Medical Technology/Technician (EMT Paramedic).</t>
  </si>
  <si>
    <t>51.0905</t>
  </si>
  <si>
    <t>Nuclear Medical Technology/Technologist.</t>
  </si>
  <si>
    <t>51.0906</t>
  </si>
  <si>
    <t>Perfusion Technology/Perfusionist.</t>
  </si>
  <si>
    <t>51.0907</t>
  </si>
  <si>
    <t>Medical Radiologic Technology/Science - Radiation Therapist.</t>
  </si>
  <si>
    <t>51.0908</t>
  </si>
  <si>
    <t>Respiratory Care Therapy/Therapist.</t>
  </si>
  <si>
    <t>51.0909</t>
  </si>
  <si>
    <t>Surgical Technology/Technologist.</t>
  </si>
  <si>
    <t>51.0910</t>
  </si>
  <si>
    <t>Diagnostic Medical Sonography/Sonographer and Ultrasound Technician.</t>
  </si>
  <si>
    <t>51.0911</t>
  </si>
  <si>
    <t>Radiologic Technology/Science - Radiographer.</t>
  </si>
  <si>
    <t>51.0912</t>
  </si>
  <si>
    <t>Physician Assistant.</t>
  </si>
  <si>
    <t>51.0913</t>
  </si>
  <si>
    <t>Athletic Training/Trainer.</t>
  </si>
  <si>
    <t>51.0914</t>
  </si>
  <si>
    <t>Gene/Genetic Therapy.</t>
  </si>
  <si>
    <t>51.0915</t>
  </si>
  <si>
    <t>Cardiopulmonary Technology/Technologist.</t>
  </si>
  <si>
    <t>51.0916</t>
  </si>
  <si>
    <t>Radiation Protection/Health Physics Technician.</t>
  </si>
  <si>
    <t>51.0917</t>
  </si>
  <si>
    <t>Polysomnography.</t>
  </si>
  <si>
    <t>51.0918</t>
  </si>
  <si>
    <t>Hearing Instrument Specialist.</t>
  </si>
  <si>
    <t>51.0919</t>
  </si>
  <si>
    <t>Mammography Technician/Technology.</t>
  </si>
  <si>
    <t>Mammography Technology/Technician.</t>
  </si>
  <si>
    <t>51.0920</t>
  </si>
  <si>
    <t>Magnetic Resonance Imaging (MRI) Technology/Technician.</t>
  </si>
  <si>
    <t>Hyperbaric Medicine Technology/Technician.</t>
  </si>
  <si>
    <t>Intraoperative Neuromonitoring Technology/Technician.</t>
  </si>
  <si>
    <t>Orthopedic Technology/Technician.</t>
  </si>
  <si>
    <t>51.0999</t>
  </si>
  <si>
    <t>Allied Health Diagnostic, Intervention, and Treatment Professions, Other.</t>
  </si>
  <si>
    <t>51.1001</t>
  </si>
  <si>
    <t>Blood Bank Technology Specialist.</t>
  </si>
  <si>
    <t>51.1002</t>
  </si>
  <si>
    <t>Cytotechnology/Cytotechnologist.</t>
  </si>
  <si>
    <t>51.1003</t>
  </si>
  <si>
    <t>Hematology Technology/Technician.</t>
  </si>
  <si>
    <t>51.1004</t>
  </si>
  <si>
    <t>Clinical/Medical Laboratory Technician.</t>
  </si>
  <si>
    <t>51.1005</t>
  </si>
  <si>
    <t>Clinical Laboratory Science/Medical Technology/Technologist.</t>
  </si>
  <si>
    <t>51.1006</t>
  </si>
  <si>
    <t>Ophthalmic Laboratory Technology/Technician.</t>
  </si>
  <si>
    <t>51.1007</t>
  </si>
  <si>
    <t>Histologic Technology/Histotechnologist.</t>
  </si>
  <si>
    <t>51.1008</t>
  </si>
  <si>
    <t>Histologic Technician.</t>
  </si>
  <si>
    <t>51.1009</t>
  </si>
  <si>
    <t>Phlebotomy Technician/Phlebotomist.</t>
  </si>
  <si>
    <t>51.1010</t>
  </si>
  <si>
    <t>Cytogenetics/Genetics/Clinical Genetics Technology/Technologist.</t>
  </si>
  <si>
    <t>51.1011</t>
  </si>
  <si>
    <t>Renal/Dialysis Technologist/Technician.</t>
  </si>
  <si>
    <t>51.1012</t>
  </si>
  <si>
    <t>Sterile Processing Technology/Technician.</t>
  </si>
  <si>
    <t>51.1099</t>
  </si>
  <si>
    <t>Clinical/Medical Laboratory Science and Allied Professions, Other.</t>
  </si>
  <si>
    <t>51.1101</t>
  </si>
  <si>
    <t>Pre-Dentistry Studies.</t>
  </si>
  <si>
    <t>51.1102</t>
  </si>
  <si>
    <t>Pre-Medicine/Pre-Medical Studies.</t>
  </si>
  <si>
    <t>51.1103</t>
  </si>
  <si>
    <t>Pre-Pharmacy Studies.</t>
  </si>
  <si>
    <t>51.1104</t>
  </si>
  <si>
    <t>Pre-Veterinary Studies.</t>
  </si>
  <si>
    <t>51.1105</t>
  </si>
  <si>
    <t>Pre-Nursing Studies.</t>
  </si>
  <si>
    <t>51.1106</t>
  </si>
  <si>
    <t>Pre-Chiropractic Studies.</t>
  </si>
  <si>
    <t>51.1107</t>
  </si>
  <si>
    <t>Pre-Occupational Therapy Studies.</t>
  </si>
  <si>
    <t>51.1108</t>
  </si>
  <si>
    <t>Pre-Optometry Studies.</t>
  </si>
  <si>
    <t>51.1109</t>
  </si>
  <si>
    <t>Pre-Physical Therapy Studies.</t>
  </si>
  <si>
    <t>Pre-Art Therapy.</t>
  </si>
  <si>
    <t>Pre-Physician Assistant.</t>
  </si>
  <si>
    <t>51.1199</t>
  </si>
  <si>
    <t>Health/Medical Preparatory Programs, Other.</t>
  </si>
  <si>
    <t>51.1201</t>
  </si>
  <si>
    <t>Medicine.</t>
  </si>
  <si>
    <t>Medicine, Other.</t>
  </si>
  <si>
    <t>51.1401</t>
  </si>
  <si>
    <t>Medical Scientist.</t>
  </si>
  <si>
    <t>Medical Science/Scientist.</t>
  </si>
  <si>
    <t>Clinical and Translational Science.</t>
  </si>
  <si>
    <t>Pain Management.</t>
  </si>
  <si>
    <t>Temporomandibular Disorders and Orofacial Pain.</t>
  </si>
  <si>
    <t>Tropical Medicine.</t>
  </si>
  <si>
    <t>Medical Clinical Sciences/Graduate Medical Studies, Other.</t>
  </si>
  <si>
    <t>51.1501</t>
  </si>
  <si>
    <t>Substance Abuse/Addiction Counseling.</t>
  </si>
  <si>
    <t>51.1502</t>
  </si>
  <si>
    <t>Psychiatric/Mental Health Services Technician.</t>
  </si>
  <si>
    <t>51.1503</t>
  </si>
  <si>
    <t>Clinical/Medical Social Work.</t>
  </si>
  <si>
    <t>51.1504</t>
  </si>
  <si>
    <t>Community Health Services/Liaison/Counseling.</t>
  </si>
  <si>
    <t>51.1505</t>
  </si>
  <si>
    <t>Marriage and Family Therapy/Counseling.</t>
  </si>
  <si>
    <t>51.1506</t>
  </si>
  <si>
    <t>Clinical Pastoral Counseling/Patient Counseling.</t>
  </si>
  <si>
    <t>51.1507</t>
  </si>
  <si>
    <t>Psychoanalysis and Psychotherapy.</t>
  </si>
  <si>
    <t>51.1508</t>
  </si>
  <si>
    <t>Mental Health Counseling/Counselor.</t>
  </si>
  <si>
    <t>51.1509</t>
  </si>
  <si>
    <t>Genetic Counseling/Counselor.</t>
  </si>
  <si>
    <t>Infant/Toddler Mental Health Services.</t>
  </si>
  <si>
    <t>Medical Family Therapy/Therapist.</t>
  </si>
  <si>
    <t>Hospice and Palliative Care.</t>
  </si>
  <si>
    <t>Trauma Counseling.</t>
  </si>
  <si>
    <t>51.1599</t>
  </si>
  <si>
    <t>Mental and Social Health Services and Allied Professions, Other.</t>
  </si>
  <si>
    <t>51.1701</t>
  </si>
  <si>
    <t>Optometry.</t>
  </si>
  <si>
    <t>51.1801</t>
  </si>
  <si>
    <t>Opticianry/Ophthalmic Dispensing Optician.</t>
  </si>
  <si>
    <t>51.1802</t>
  </si>
  <si>
    <t>Optometric Technician/Assistant.</t>
  </si>
  <si>
    <t>51.1803</t>
  </si>
  <si>
    <t>Ophthalmic Technician/Technologist.</t>
  </si>
  <si>
    <t>51.1804</t>
  </si>
  <si>
    <t>Orthoptics/Orthoptist.</t>
  </si>
  <si>
    <t>51.1899</t>
  </si>
  <si>
    <t>Ophthalmic and Optometric Support Services and Allied Professions, Other.</t>
  </si>
  <si>
    <t>51.1901</t>
  </si>
  <si>
    <t>Osteopathic Medicine/Osteopathy.</t>
  </si>
  <si>
    <t>51.2001</t>
  </si>
  <si>
    <t>Pharmacy.</t>
  </si>
  <si>
    <t>51.2002</t>
  </si>
  <si>
    <t>Pharmacy Administration and Pharmacy Policy and Regulatory Affairs.</t>
  </si>
  <si>
    <t>51.2003</t>
  </si>
  <si>
    <t>Pharmaceutics and Drug Design.</t>
  </si>
  <si>
    <t>51.2004</t>
  </si>
  <si>
    <t>Medicinal and Pharmaceutical Chemistry.</t>
  </si>
  <si>
    <t>51.2005</t>
  </si>
  <si>
    <t>Natural Products Chemistry and Pharmacognosy.</t>
  </si>
  <si>
    <t>51.2006</t>
  </si>
  <si>
    <t>Clinical and Industrial Drug Development.</t>
  </si>
  <si>
    <t>51.2007</t>
  </si>
  <si>
    <t>Pharmacoeconomics/Pharmaceutical Economics.</t>
  </si>
  <si>
    <t>51.2008</t>
  </si>
  <si>
    <t>Clinical, Hospital, and Managed Care Pharmacy.</t>
  </si>
  <si>
    <t>51.2009</t>
  </si>
  <si>
    <t>Industrial and Physical Pharmacy and Cosmetic Sciences.</t>
  </si>
  <si>
    <t>51.2010</t>
  </si>
  <si>
    <t>Pharmaceutical Sciences.</t>
  </si>
  <si>
    <t>51.2011</t>
  </si>
  <si>
    <t>Pharmaceutical Marketing and Management.</t>
  </si>
  <si>
    <t>51.2099</t>
  </si>
  <si>
    <t>Pharmacy, Pharmaceutical Sciences, and Administration, Other.</t>
  </si>
  <si>
    <t>51.2101</t>
  </si>
  <si>
    <t>Podiatric Medicine/Podiatry.</t>
  </si>
  <si>
    <t>51.2201</t>
  </si>
  <si>
    <t>Public Health, General.</t>
  </si>
  <si>
    <t>51.2202</t>
  </si>
  <si>
    <t>Environmental Health.</t>
  </si>
  <si>
    <t>51.2205</t>
  </si>
  <si>
    <t>Health/Medical  Physics.</t>
  </si>
  <si>
    <t>51.2206</t>
  </si>
  <si>
    <t>Occupational Health and Industrial Hygiene.</t>
  </si>
  <si>
    <t>51.2207</t>
  </si>
  <si>
    <t>Public Health Education and Promotion.</t>
  </si>
  <si>
    <t>51.2208</t>
  </si>
  <si>
    <t>Community Health and Preventive Medicine.</t>
  </si>
  <si>
    <t>51.2209</t>
  </si>
  <si>
    <t>Maternal and Child Health.</t>
  </si>
  <si>
    <t>51.2210</t>
  </si>
  <si>
    <t>International Public Health/International Health.</t>
  </si>
  <si>
    <t>51.2211</t>
  </si>
  <si>
    <t>Health Services Administration.</t>
  </si>
  <si>
    <t>51.2212</t>
  </si>
  <si>
    <t>Behavioral Aspects of Health.</t>
  </si>
  <si>
    <t>Patient Safety and Healthcare Quality.</t>
  </si>
  <si>
    <t>Public Health Genetics.</t>
  </si>
  <si>
    <t>51.2299</t>
  </si>
  <si>
    <t>Public Health, Other.</t>
  </si>
  <si>
    <t>Rehabilitation and Therapeutic Professions, General.</t>
  </si>
  <si>
    <t>51.2301</t>
  </si>
  <si>
    <t>Art Therapy/Therapist.</t>
  </si>
  <si>
    <t>51.2302</t>
  </si>
  <si>
    <t>Dance Therapy/Therapist.</t>
  </si>
  <si>
    <t>51.2305</t>
  </si>
  <si>
    <t>Music Therapy/Therapist.</t>
  </si>
  <si>
    <t>51.2306</t>
  </si>
  <si>
    <t>Occupational Therapy/Therapist.</t>
  </si>
  <si>
    <t>51.2307</t>
  </si>
  <si>
    <t>Orthotist/Prosthetist.</t>
  </si>
  <si>
    <t>51.2308</t>
  </si>
  <si>
    <t>Physical Therapy/Therapist.</t>
  </si>
  <si>
    <t>51.2309</t>
  </si>
  <si>
    <t>Therapeutic Recreation/Recreational Therapy.</t>
  </si>
  <si>
    <t>51.2310</t>
  </si>
  <si>
    <t>Vocational Rehabilitation Counseling/Counselor.</t>
  </si>
  <si>
    <t>51.2311</t>
  </si>
  <si>
    <t>Kinesiotherapy/Kinesiotherapist.</t>
  </si>
  <si>
    <t>51.2312</t>
  </si>
  <si>
    <t>Assistive/Augmentative Technology and Rehabilitation Engineering.</t>
  </si>
  <si>
    <t>51.2313</t>
  </si>
  <si>
    <t>Animal-Assisted Therapy.</t>
  </si>
  <si>
    <t>51.2314</t>
  </si>
  <si>
    <t>Rehabilitation Science.</t>
  </si>
  <si>
    <t>Drama Therapy/Therapist.</t>
  </si>
  <si>
    <t>Horticulture Therapy/Therapist.</t>
  </si>
  <si>
    <t>Play Therapy/Therapist.</t>
  </si>
  <si>
    <t>51.2399</t>
  </si>
  <si>
    <t>Rehabilitation and Therapeutic Professions, Other.</t>
  </si>
  <si>
    <t>51.2401</t>
  </si>
  <si>
    <t>Veterinary Medicine.</t>
  </si>
  <si>
    <t>51.2501</t>
  </si>
  <si>
    <t>Veterinary Sciences/Veterinary Clinical Sciences, General.</t>
  </si>
  <si>
    <t>51.2502</t>
  </si>
  <si>
    <t>Veterinary Anatomy.</t>
  </si>
  <si>
    <t>51.2503</t>
  </si>
  <si>
    <t>Veterinary Physiology.</t>
  </si>
  <si>
    <t>51.2504</t>
  </si>
  <si>
    <t>Veterinary Microbiology and Immunobiology.</t>
  </si>
  <si>
    <t>51.2505</t>
  </si>
  <si>
    <t>Veterinary Pathology and Pathobiology.</t>
  </si>
  <si>
    <t>51.2506</t>
  </si>
  <si>
    <t>Veterinary Toxicology and Pharmacology.</t>
  </si>
  <si>
    <t>51.2507</t>
  </si>
  <si>
    <t>Large Animal/Food Animal and Equine Surgery and Medicine.</t>
  </si>
  <si>
    <t>51.2508</t>
  </si>
  <si>
    <t>Small/Companion Animal Surgery and Medicine.</t>
  </si>
  <si>
    <t>51.2509</t>
  </si>
  <si>
    <t>Comparative and Laboratory Animal Medicine.</t>
  </si>
  <si>
    <t>51.2510</t>
  </si>
  <si>
    <t>Veterinary Preventive Medicine, Epidemiology, and Public Health.</t>
  </si>
  <si>
    <t>51.2511</t>
  </si>
  <si>
    <t>Veterinary Infectious Diseases.</t>
  </si>
  <si>
    <t>51.2599</t>
  </si>
  <si>
    <t>Veterinary Biomedical and Clinical Sciences, Other.</t>
  </si>
  <si>
    <t>51.2601</t>
  </si>
  <si>
    <t>Health Aide.</t>
  </si>
  <si>
    <t>51.2602</t>
  </si>
  <si>
    <t>Home Health Aide/Home Attendant.</t>
  </si>
  <si>
    <t>51.2603</t>
  </si>
  <si>
    <t>Medication Aide.</t>
  </si>
  <si>
    <t>51.2604</t>
  </si>
  <si>
    <t>Rehabilitation Aide.</t>
  </si>
  <si>
    <t>Physical Therapy Technician/Aide.</t>
  </si>
  <si>
    <t>51.2699</t>
  </si>
  <si>
    <t>Health Aides/Attendants/Orderlies, Other.</t>
  </si>
  <si>
    <t>51.2703</t>
  </si>
  <si>
    <t>Medical Illustration/Medical Illustrator.</t>
  </si>
  <si>
    <t>51.2706</t>
  </si>
  <si>
    <t>Medical Informatics.</t>
  </si>
  <si>
    <t>51.2799</t>
  </si>
  <si>
    <t>Medical Illustration and Informatics, Other.</t>
  </si>
  <si>
    <t>51.3101</t>
  </si>
  <si>
    <t>Dietetics/Dietitian.</t>
  </si>
  <si>
    <t>51.3102</t>
  </si>
  <si>
    <t>Clinical Nutrition/Nutritionist.</t>
  </si>
  <si>
    <t>51.3103</t>
  </si>
  <si>
    <t>Dietetic Technician.</t>
  </si>
  <si>
    <t>51.3104</t>
  </si>
  <si>
    <t>Dietitian Assistant.</t>
  </si>
  <si>
    <t>51.3199</t>
  </si>
  <si>
    <t>Dietetics and Clinical Nutrition Services, Other.</t>
  </si>
  <si>
    <t>51.3201</t>
  </si>
  <si>
    <t>Bioethics/Medical Ethics.</t>
  </si>
  <si>
    <t>Health Professions Education.</t>
  </si>
  <si>
    <t>Medical/Health Humanities.</t>
  </si>
  <si>
    <t>History of Medicine.</t>
  </si>
  <si>
    <t>Arts in Medicine/Health.</t>
  </si>
  <si>
    <t>Health Professions Education, Ethics, and Humanities, Other.</t>
  </si>
  <si>
    <t>51.3300</t>
  </si>
  <si>
    <t>Alternative and Complementary Medicine and Medical Systems, General.</t>
  </si>
  <si>
    <t>51.3301</t>
  </si>
  <si>
    <t>Acupuncture and Oriental Medicine.</t>
  </si>
  <si>
    <t>51.3302</t>
  </si>
  <si>
    <t>Traditional Chinese Medicine and Chinese Herbology.</t>
  </si>
  <si>
    <t>51.3303</t>
  </si>
  <si>
    <t>Naturopathic Medicine/Naturopathy.</t>
  </si>
  <si>
    <t>51.3304</t>
  </si>
  <si>
    <t>Homeopathic Medicine/Homeopathy.</t>
  </si>
  <si>
    <t>51.3305</t>
  </si>
  <si>
    <t>Ayurvedic Medicine/Ayurveda.</t>
  </si>
  <si>
    <t>51.3306</t>
  </si>
  <si>
    <t>Holistic Health.</t>
  </si>
  <si>
    <t>Holistic/Integrative Health.</t>
  </si>
  <si>
    <t>51.3399</t>
  </si>
  <si>
    <t>Alternative and Complementary Medicine and Medical Systems, Other.</t>
  </si>
  <si>
    <t>51.3401</t>
  </si>
  <si>
    <t>Direct Entry Midwifery.</t>
  </si>
  <si>
    <t>51.3499</t>
  </si>
  <si>
    <t>Alternative and Complementary Medical Support Services, Other.</t>
  </si>
  <si>
    <t>51.3501</t>
  </si>
  <si>
    <t>Massage Therapy/Therapeutic Massage.</t>
  </si>
  <si>
    <t>51.3502</t>
  </si>
  <si>
    <t>Asian Bodywork Therapy.</t>
  </si>
  <si>
    <t>51.3503</t>
  </si>
  <si>
    <t>Somatic Bodywork.</t>
  </si>
  <si>
    <t>51.3599</t>
  </si>
  <si>
    <t>Somatic Bodywork and Related Therapeutic Services, Other.</t>
  </si>
  <si>
    <t>51.3601</t>
  </si>
  <si>
    <t>Movement Therapy and Movement Education.</t>
  </si>
  <si>
    <t>51.3602</t>
  </si>
  <si>
    <t>Yoga Teacher Training/Yoga Therapy.</t>
  </si>
  <si>
    <t>51.3603</t>
  </si>
  <si>
    <t>Hypnotherapy/Hypnotherapist.</t>
  </si>
  <si>
    <t>51.3699</t>
  </si>
  <si>
    <t>Movement and Mind-Body Therapies and Education, Other.</t>
  </si>
  <si>
    <t>51.3701</t>
  </si>
  <si>
    <t>Aromatherapy.</t>
  </si>
  <si>
    <t>51.3702</t>
  </si>
  <si>
    <t>Herbalism/Herbalist.</t>
  </si>
  <si>
    <t>51.3703</t>
  </si>
  <si>
    <t>Polarity Therapy.</t>
  </si>
  <si>
    <t>51.3704</t>
  </si>
  <si>
    <t>Reiki.</t>
  </si>
  <si>
    <t>51.3799</t>
  </si>
  <si>
    <t>Energy and Biologically Based Therapies, Other.</t>
  </si>
  <si>
    <t>51.3801</t>
  </si>
  <si>
    <t>Registered Nursing/Registered Nurse.</t>
  </si>
  <si>
    <t>51.3802</t>
  </si>
  <si>
    <t>Nursing Administration.</t>
  </si>
  <si>
    <t>51.3803</t>
  </si>
  <si>
    <t>Adult Health Nurse/Nursing.</t>
  </si>
  <si>
    <t>51.3804</t>
  </si>
  <si>
    <t>Nurse Anesthetist.</t>
  </si>
  <si>
    <t>51.3805</t>
  </si>
  <si>
    <t>Family Practice Nurse/Nursing.</t>
  </si>
  <si>
    <t>51.3806</t>
  </si>
  <si>
    <t>Maternal/Child Health and Neonatal Nurse/Nursing.</t>
  </si>
  <si>
    <t>51.3807</t>
  </si>
  <si>
    <t>Nurse Midwife/Nursing Midwifery.</t>
  </si>
  <si>
    <t>51.3808</t>
  </si>
  <si>
    <t>Nursing Science.</t>
  </si>
  <si>
    <t>51.3809</t>
  </si>
  <si>
    <t>Pediatric Nurse/Nursing.</t>
  </si>
  <si>
    <t>51.3810</t>
  </si>
  <si>
    <t>Psychiatric/Mental Health Nurse/Nursing.</t>
  </si>
  <si>
    <t>51.3811</t>
  </si>
  <si>
    <t>Public Health/Community Nurse/Nursing.</t>
  </si>
  <si>
    <t>51.3812</t>
  </si>
  <si>
    <t>Perioperative/Operating Room and Surgical Nurse/Nursing.</t>
  </si>
  <si>
    <t>51.3813</t>
  </si>
  <si>
    <t>Clinical Nurse Specialist.</t>
  </si>
  <si>
    <t>51.3814</t>
  </si>
  <si>
    <t>Critical Care Nursing.</t>
  </si>
  <si>
    <t>51.3815</t>
  </si>
  <si>
    <t>Occupational and Environmental Health Nursing.</t>
  </si>
  <si>
    <t>51.3816</t>
  </si>
  <si>
    <t>Emergency Room/Trauma Nursing.</t>
  </si>
  <si>
    <t>51.3817</t>
  </si>
  <si>
    <t>Nursing Education.</t>
  </si>
  <si>
    <t>51.3818</t>
  </si>
  <si>
    <t>Nursing Practice.</t>
  </si>
  <si>
    <t>51.3819</t>
  </si>
  <si>
    <t>Palliative Care Nursing.</t>
  </si>
  <si>
    <t>51.3820</t>
  </si>
  <si>
    <t>Clinical Nurse Leader.</t>
  </si>
  <si>
    <t>51.3821</t>
  </si>
  <si>
    <t>Geriatric Nurse/Nursing.</t>
  </si>
  <si>
    <t>51.3822</t>
  </si>
  <si>
    <t>Women&amp;#39;s Health Nurse/Nursing.</t>
  </si>
  <si>
    <t>Forensic Nursing.</t>
  </si>
  <si>
    <t>51.3899</t>
  </si>
  <si>
    <t>Registered Nursing, Nursing Administration, Nursing Research and Clinical Nursing, Other.</t>
  </si>
  <si>
    <t>51.3901</t>
  </si>
  <si>
    <t>Licensed Practical/Vocational Nurse Training.</t>
  </si>
  <si>
    <t>51.3902</t>
  </si>
  <si>
    <t>Nursing Assistant/Aide and Patient Care Assistant/Aide.</t>
  </si>
  <si>
    <t>51.3999</t>
  </si>
  <si>
    <t>Practical Nursing, Vocational Nursing and Nursing Assistants, Other.</t>
  </si>
  <si>
    <t>51.9999</t>
  </si>
  <si>
    <t>Health Professions and Related Clinical Sciences, Other.</t>
  </si>
  <si>
    <t>52.0101</t>
  </si>
  <si>
    <t>Business/Commerce, General.</t>
  </si>
  <si>
    <t>52.0201</t>
  </si>
  <si>
    <t>Business Administration and Management, General.</t>
  </si>
  <si>
    <t>52.0202</t>
  </si>
  <si>
    <t>Purchasing, Procurement/Acquisitions and Contracts Management.</t>
  </si>
  <si>
    <t>52.0203</t>
  </si>
  <si>
    <t>Logistics, Materials, and Supply Chain Management.</t>
  </si>
  <si>
    <t>52.0204</t>
  </si>
  <si>
    <t>Office Management and Supervision.</t>
  </si>
  <si>
    <t>52.0205</t>
  </si>
  <si>
    <t>Operations Management and Supervision.</t>
  </si>
  <si>
    <t>52.0206</t>
  </si>
  <si>
    <t>Non-Profit/Public/Organizational Management.</t>
  </si>
  <si>
    <t>52.0207</t>
  </si>
  <si>
    <t>Customer Service Management.</t>
  </si>
  <si>
    <t>52.0208</t>
  </si>
  <si>
    <t>E-Commerce/Electronic Commerce.</t>
  </si>
  <si>
    <t>52.0209</t>
  </si>
  <si>
    <t>Transportation/Mobility Management.</t>
  </si>
  <si>
    <t>52.0210</t>
  </si>
  <si>
    <t>Research and Development Management.</t>
  </si>
  <si>
    <t>52.0211</t>
  </si>
  <si>
    <t>Project Management.</t>
  </si>
  <si>
    <t>52.0212</t>
  </si>
  <si>
    <t>Retail Management.</t>
  </si>
  <si>
    <t>52.0213</t>
  </si>
  <si>
    <t>Organizational Leadership.</t>
  </si>
  <si>
    <t>Research Administration.</t>
  </si>
  <si>
    <t>Risk Management.</t>
  </si>
  <si>
    <t>Science/Technology Management.</t>
  </si>
  <si>
    <t>52.0299</t>
  </si>
  <si>
    <t>Business Administration, Management and Operations, Other.</t>
  </si>
  <si>
    <t>52.0301</t>
  </si>
  <si>
    <t>Accounting.</t>
  </si>
  <si>
    <t>52.0302</t>
  </si>
  <si>
    <t>Accounting Technology/Technician and Bookkeeping.</t>
  </si>
  <si>
    <t>52.0303</t>
  </si>
  <si>
    <t>Auditing.</t>
  </si>
  <si>
    <t>52.0304</t>
  </si>
  <si>
    <t>Accounting and Finance.</t>
  </si>
  <si>
    <t>52.0305</t>
  </si>
  <si>
    <t>Accounting and Business/Management.</t>
  </si>
  <si>
    <t>52.0399</t>
  </si>
  <si>
    <t>Accounting and Related Services, Other.</t>
  </si>
  <si>
    <t>52.0401</t>
  </si>
  <si>
    <t>Administrative Assistant and Secretarial Science, General.</t>
  </si>
  <si>
    <t>52.0402</t>
  </si>
  <si>
    <t>Executive Assistant/Executive Secretary.</t>
  </si>
  <si>
    <t>52.0406</t>
  </si>
  <si>
    <t>Receptionist.</t>
  </si>
  <si>
    <t>52.0407</t>
  </si>
  <si>
    <t>Business/Office Automation/Technology/Data Entry.</t>
  </si>
  <si>
    <t>52.0408</t>
  </si>
  <si>
    <t>General Office Occupations and Clerical Services.</t>
  </si>
  <si>
    <t>52.0409</t>
  </si>
  <si>
    <t>Parts, Warehousing, and Inventory Management Operations.</t>
  </si>
  <si>
    <t>52.0410</t>
  </si>
  <si>
    <t>Traffic, Customs, and Transportation Clerk/Technician.</t>
  </si>
  <si>
    <t>52.0411</t>
  </si>
  <si>
    <t>Customer Service Support/Call Center/Teleservice Operation.</t>
  </si>
  <si>
    <t>52.0499</t>
  </si>
  <si>
    <t>Business Operations Support and Secretarial Services, Other.</t>
  </si>
  <si>
    <t>52.0501</t>
  </si>
  <si>
    <t>Business/Corporate Communications.</t>
  </si>
  <si>
    <t>Business/Corporate Communications, General.</t>
  </si>
  <si>
    <t>Grantsmanship.</t>
  </si>
  <si>
    <t>Business/Corporate Communications, Other.</t>
  </si>
  <si>
    <t>52.0601</t>
  </si>
  <si>
    <t>Business/Managerial Economics.</t>
  </si>
  <si>
    <t>52.0701</t>
  </si>
  <si>
    <t>Entrepreneurship/Entrepreneurial Studies.</t>
  </si>
  <si>
    <t>52.0702</t>
  </si>
  <si>
    <t>Franchising and Franchise Operations.</t>
  </si>
  <si>
    <t>52.0703</t>
  </si>
  <si>
    <t>Small Business Administration/Management.</t>
  </si>
  <si>
    <t>Social Entrepreneurship.</t>
  </si>
  <si>
    <t>52.0799</t>
  </si>
  <si>
    <t>Entrepreneurial and Small Business Operations, Other.</t>
  </si>
  <si>
    <t>52.0801</t>
  </si>
  <si>
    <t>Finance, General.</t>
  </si>
  <si>
    <t>52.0803</t>
  </si>
  <si>
    <t>Banking and Financial Support Services.</t>
  </si>
  <si>
    <t>52.0804</t>
  </si>
  <si>
    <t>Financial Planning and Services.</t>
  </si>
  <si>
    <t>52.0806</t>
  </si>
  <si>
    <t>International Finance.</t>
  </si>
  <si>
    <t>52.0807</t>
  </si>
  <si>
    <t>Investments and Securities.</t>
  </si>
  <si>
    <t>52.0808</t>
  </si>
  <si>
    <t>Public Finance.</t>
  </si>
  <si>
    <t>52.0809</t>
  </si>
  <si>
    <t>Credit Management.</t>
  </si>
  <si>
    <t>Financial Risk Management.</t>
  </si>
  <si>
    <t>52.0899</t>
  </si>
  <si>
    <t>Finance and Financial Management Services, Other.</t>
  </si>
  <si>
    <t>52.0901</t>
  </si>
  <si>
    <t>Hospitality Administration/Management, General.</t>
  </si>
  <si>
    <t>52.0903</t>
  </si>
  <si>
    <t>Tourism and Travel Services Management.</t>
  </si>
  <si>
    <t>52.0904</t>
  </si>
  <si>
    <t>Hotel/Motel Administration/Management.</t>
  </si>
  <si>
    <t>52.0905</t>
  </si>
  <si>
    <t>Restaurant/Food Services Management.</t>
  </si>
  <si>
    <t>52.0906</t>
  </si>
  <si>
    <t>Resort Management.</t>
  </si>
  <si>
    <t>52.0907</t>
  </si>
  <si>
    <t>Meeting and Event Planning.</t>
  </si>
  <si>
    <t>52.0908</t>
  </si>
  <si>
    <t>Casino Management.</t>
  </si>
  <si>
    <t>52.0909</t>
  </si>
  <si>
    <t>Hotel, Motel, and Restaurant Management.</t>
  </si>
  <si>
    <t>Brewery/Brewpub Operations/Management.</t>
  </si>
  <si>
    <t>52.0999</t>
  </si>
  <si>
    <t>Hospitality Administration/Management, Other.</t>
  </si>
  <si>
    <t>52.1001</t>
  </si>
  <si>
    <t>Human Resources Management/Personnel Administration, General.</t>
  </si>
  <si>
    <t>52.1002</t>
  </si>
  <si>
    <t>Labor and Industrial Relations.</t>
  </si>
  <si>
    <t>52.1003</t>
  </si>
  <si>
    <t>Organizational Behavior Studies.</t>
  </si>
  <si>
    <t>52.1004</t>
  </si>
  <si>
    <t>Labor Studies.</t>
  </si>
  <si>
    <t>52.1005</t>
  </si>
  <si>
    <t>Human Resources Development.</t>
  </si>
  <si>
    <t>Executive/Career Coaching.</t>
  </si>
  <si>
    <t>52.1099</t>
  </si>
  <si>
    <t>Human Resources Management and Services, Other.</t>
  </si>
  <si>
    <t>52.1101</t>
  </si>
  <si>
    <t>International Business/Trade/Commerce.</t>
  </si>
  <si>
    <t>52.1201</t>
  </si>
  <si>
    <t>Management Information Systems, General.</t>
  </si>
  <si>
    <t>52.1206</t>
  </si>
  <si>
    <t>Information Resources Management.</t>
  </si>
  <si>
    <t>52.1207</t>
  </si>
  <si>
    <t>Knowledge Management.</t>
  </si>
  <si>
    <t>52.1299</t>
  </si>
  <si>
    <t>Management Information Systems and Services, Other.</t>
  </si>
  <si>
    <t>52.1301</t>
  </si>
  <si>
    <t>Management Science.</t>
  </si>
  <si>
    <t>52.1302</t>
  </si>
  <si>
    <t>Business Statistics.</t>
  </si>
  <si>
    <t>52.1304</t>
  </si>
  <si>
    <t>Actuarial Science.</t>
  </si>
  <si>
    <t>52.1399</t>
  </si>
  <si>
    <t>Management Sciences and Quantitative Methods, Other.</t>
  </si>
  <si>
    <t>52.1401</t>
  </si>
  <si>
    <t>Marketing/Marketing Management, General.</t>
  </si>
  <si>
    <t>52.1402</t>
  </si>
  <si>
    <t>Marketing Research.</t>
  </si>
  <si>
    <t>52.1403</t>
  </si>
  <si>
    <t>International Marketing.</t>
  </si>
  <si>
    <t>Digital Marketing.</t>
  </si>
  <si>
    <t>52.1499</t>
  </si>
  <si>
    <t>Marketing, Other.</t>
  </si>
  <si>
    <t>52.1501</t>
  </si>
  <si>
    <t>Real Estate.</t>
  </si>
  <si>
    <t>52.1601</t>
  </si>
  <si>
    <t>Taxation.</t>
  </si>
  <si>
    <t>52.1701</t>
  </si>
  <si>
    <t>Insurance.</t>
  </si>
  <si>
    <t>52.1801</t>
  </si>
  <si>
    <t>Sales, Distribution, and Marketing Operations, General.</t>
  </si>
  <si>
    <t>52.1802</t>
  </si>
  <si>
    <t>Merchandising and Buying Operations.</t>
  </si>
  <si>
    <t>52.1803</t>
  </si>
  <si>
    <t>Retailing and Retail Operations.</t>
  </si>
  <si>
    <t>52.1804</t>
  </si>
  <si>
    <t>Selling Skills and Sales Operations.</t>
  </si>
  <si>
    <t>52.1899</t>
  </si>
  <si>
    <t>General Merchandising, Sales, and Related Marketing Operations, Other.</t>
  </si>
  <si>
    <t>52.1901</t>
  </si>
  <si>
    <t>Auctioneering.</t>
  </si>
  <si>
    <t>52.1902</t>
  </si>
  <si>
    <t>Fashion Merchandising.</t>
  </si>
  <si>
    <t>52.1903</t>
  </si>
  <si>
    <t>Fashion Modeling.</t>
  </si>
  <si>
    <t>52.1904</t>
  </si>
  <si>
    <t>Apparel and Accessories Marketing Operations.</t>
  </si>
  <si>
    <t>52.1905</t>
  </si>
  <si>
    <t>Tourism and Travel Services Marketing Operations.</t>
  </si>
  <si>
    <t>52.1906</t>
  </si>
  <si>
    <t>Tourism Promotion Operations.</t>
  </si>
  <si>
    <t>52.1907</t>
  </si>
  <si>
    <t>Vehicle and Vehicle Parts and Accessories Marketing Operations.</t>
  </si>
  <si>
    <t>52.1908</t>
  </si>
  <si>
    <t>Business and Personal/Financial Services Marketing Operations.</t>
  </si>
  <si>
    <t>52.1909</t>
  </si>
  <si>
    <t>Special Products Marketing Operations.</t>
  </si>
  <si>
    <t>52.1910</t>
  </si>
  <si>
    <t>Hospitality and Recreation Marketing Operations.</t>
  </si>
  <si>
    <t>52.1999</t>
  </si>
  <si>
    <t>Specialized Merchandising, Sales, and Marketing Operations, Other.</t>
  </si>
  <si>
    <t>52.2001</t>
  </si>
  <si>
    <t>Construction Management.</t>
  </si>
  <si>
    <t>Construction Management, General.</t>
  </si>
  <si>
    <t>Construction Project Management.</t>
  </si>
  <si>
    <t>Construction Management, Other.</t>
  </si>
  <si>
    <t>52.2101</t>
  </si>
  <si>
    <t>Telecommunications Management.</t>
  </si>
  <si>
    <t>52.9999</t>
  </si>
  <si>
    <t>Business, Management, Marketing, and Related Support Services, Other.</t>
  </si>
  <si>
    <t>53.0101</t>
  </si>
  <si>
    <t>Regular/General High School/Secondary Diploma Program.</t>
  </si>
  <si>
    <t>53.0102</t>
  </si>
  <si>
    <t>College/University Preparatory and Advanced High School/Secondary Diploma Program.</t>
  </si>
  <si>
    <t>53.0103</t>
  </si>
  <si>
    <t>Vocational High School and Secondary Business/Vocational-Industrial/Occupational Diploma Program.</t>
  </si>
  <si>
    <t>53.0104</t>
  </si>
  <si>
    <t>Honors/Regents High School/Secondary Diploma Program.</t>
  </si>
  <si>
    <t>53.0105</t>
  </si>
  <si>
    <t>Adult High School/Secondary Diploma Program.</t>
  </si>
  <si>
    <t>53.0199</t>
  </si>
  <si>
    <t>High School/Secondary Diploma Programs, Other.</t>
  </si>
  <si>
    <t>53.0201</t>
  </si>
  <si>
    <t>High School Equivalence Certificate Program.</t>
  </si>
  <si>
    <t>53.0202</t>
  </si>
  <si>
    <t>High School Certificate of Competence Program.</t>
  </si>
  <si>
    <t>53.0203</t>
  </si>
  <si>
    <t>Certificate of IEP Completion Program.</t>
  </si>
  <si>
    <t>53.0299</t>
  </si>
  <si>
    <t>High School/Secondary Certificates, Other.</t>
  </si>
  <si>
    <t>54.0101</t>
  </si>
  <si>
    <t>History, General.</t>
  </si>
  <si>
    <t>54.0102</t>
  </si>
  <si>
    <t>American  History (United States).</t>
  </si>
  <si>
    <t>54.0103</t>
  </si>
  <si>
    <t>European History.</t>
  </si>
  <si>
    <t>54.0104</t>
  </si>
  <si>
    <t>History and Philosophy of Science and Technology.</t>
  </si>
  <si>
    <t>54.0105</t>
  </si>
  <si>
    <t>Public/Applied History.</t>
  </si>
  <si>
    <t>54.0106</t>
  </si>
  <si>
    <t>Asian History.</t>
  </si>
  <si>
    <t>54.0107</t>
  </si>
  <si>
    <t>Canadian History.</t>
  </si>
  <si>
    <t>54.0108</t>
  </si>
  <si>
    <t>Military History.</t>
  </si>
  <si>
    <t>54.0199</t>
  </si>
  <si>
    <t>History, Other.</t>
  </si>
  <si>
    <t>60.0101</t>
  </si>
  <si>
    <t>Oral and Maxillofacial Surgery Residency Program.</t>
  </si>
  <si>
    <t>60.0102</t>
  </si>
  <si>
    <t>Dental Public Health Residency Program.</t>
  </si>
  <si>
    <t>60.0103</t>
  </si>
  <si>
    <t>Endodontics Residency Program.</t>
  </si>
  <si>
    <t>60.0104</t>
  </si>
  <si>
    <t>Oral and Maxillofacial Pathology Residency Program.</t>
  </si>
  <si>
    <t>60.0105</t>
  </si>
  <si>
    <t>Orthodontics Residency Program.</t>
  </si>
  <si>
    <t>60.0106</t>
  </si>
  <si>
    <t>Pediatric Dentistry Residency Program.</t>
  </si>
  <si>
    <t>60.0107</t>
  </si>
  <si>
    <t>Periodontology Residency Program.</t>
  </si>
  <si>
    <t>60.0108</t>
  </si>
  <si>
    <t>Prosthodontics Residency Program.</t>
  </si>
  <si>
    <t>60.0109</t>
  </si>
  <si>
    <t>Oral and Maxillofacial Radiology Residency Program.</t>
  </si>
  <si>
    <t>Implantology Fellowship Program.</t>
  </si>
  <si>
    <t>60.0199</t>
  </si>
  <si>
    <t>Dental Residency Program, Other.</t>
  </si>
  <si>
    <t>Dental Residency/Fellowship Program, Other.</t>
  </si>
  <si>
    <t>60.0301</t>
  </si>
  <si>
    <t>Veterinary Anesthesiology Residency Program.</t>
  </si>
  <si>
    <t>60.0302</t>
  </si>
  <si>
    <t>Veterinary Dentistry Residency Program.</t>
  </si>
  <si>
    <t>60.0303</t>
  </si>
  <si>
    <t>Veterinary Dermatology Residency Program.</t>
  </si>
  <si>
    <t>60.0304</t>
  </si>
  <si>
    <t>Veterinary Emergency and Critical Care Medicine Residency Program.</t>
  </si>
  <si>
    <t>60.0305</t>
  </si>
  <si>
    <t>Veterinary Internal Medicine Residency Program.</t>
  </si>
  <si>
    <t>60.0306</t>
  </si>
  <si>
    <t>Laboratory Animal Medicine Residency Program.</t>
  </si>
  <si>
    <t>60.0307</t>
  </si>
  <si>
    <t>Veterinary Microbiology Residency Program.</t>
  </si>
  <si>
    <t>60.0308</t>
  </si>
  <si>
    <t>Veterinary Nutrition Residency Program.</t>
  </si>
  <si>
    <t>60.0309</t>
  </si>
  <si>
    <t>Veterinary Ophthalmology Residency Program.</t>
  </si>
  <si>
    <t>60.0310</t>
  </si>
  <si>
    <t>Veterinary Pathology Residency Program.</t>
  </si>
  <si>
    <t>60.0311</t>
  </si>
  <si>
    <t>Veterinary Practice Residency Program.</t>
  </si>
  <si>
    <t>60.0312</t>
  </si>
  <si>
    <t>Veterinary Preventive Medicine Residency Program.</t>
  </si>
  <si>
    <t>60.0313</t>
  </si>
  <si>
    <t>Veterinary Radiology Residency Program.</t>
  </si>
  <si>
    <t>60.0314</t>
  </si>
  <si>
    <t>Veterinary Surgery Residency Program.</t>
  </si>
  <si>
    <t>60.0315</t>
  </si>
  <si>
    <t>Theriogenology Residency Program.</t>
  </si>
  <si>
    <t>60.0316</t>
  </si>
  <si>
    <t>Veterinary Toxicology Residency Program.</t>
  </si>
  <si>
    <t>60.0317</t>
  </si>
  <si>
    <t>Zoological Medicine Residency Program.</t>
  </si>
  <si>
    <t>60.0318</t>
  </si>
  <si>
    <t>Poultry Veterinarian Residency Program.</t>
  </si>
  <si>
    <t>60.0319</t>
  </si>
  <si>
    <t>Veterinary Behaviorist Residency Program.</t>
  </si>
  <si>
    <t>60.0320</t>
  </si>
  <si>
    <t>Veterinary Clinical Pharmacology Residency Program.</t>
  </si>
  <si>
    <t>60.0399</t>
  </si>
  <si>
    <t>Veterinary Residency Programs, Other.</t>
  </si>
  <si>
    <t>Veterinary Residency/Fellowship Program, Other.</t>
  </si>
  <si>
    <t>60.0401</t>
  </si>
  <si>
    <t>Aerospace Medicine Residency Program.</t>
  </si>
  <si>
    <t>60.0402</t>
  </si>
  <si>
    <t>Allergy and Immunology Residency Program.</t>
  </si>
  <si>
    <t>Allergy and Immunology Fellowship Program.</t>
  </si>
  <si>
    <t>60.0403</t>
  </si>
  <si>
    <t>Anesthesiology Residency Program.</t>
  </si>
  <si>
    <t>60.0404</t>
  </si>
  <si>
    <t>Child Neurology Residency Program.</t>
  </si>
  <si>
    <t>60.0405</t>
  </si>
  <si>
    <t>Clinical Biochemical Genetics Residency Program.</t>
  </si>
  <si>
    <t>60.0406</t>
  </si>
  <si>
    <t>Clinical Cytogenetics Residency Program.</t>
  </si>
  <si>
    <t>Deleted</t>
  </si>
  <si>
    <t>Deleted, report under 61.0903</t>
  </si>
  <si>
    <t>60.0407</t>
  </si>
  <si>
    <t>Clinical Genetics Residency Program.</t>
  </si>
  <si>
    <t>Clinical Genetics and Genomics Residency Program.</t>
  </si>
  <si>
    <t>60.0408</t>
  </si>
  <si>
    <t>Clinical Molecular Genetics Residency Program.</t>
  </si>
  <si>
    <t>60.0409</t>
  </si>
  <si>
    <t>Colon and Rectal Surgery Residency Program.</t>
  </si>
  <si>
    <t>60.0410</t>
  </si>
  <si>
    <t>Dermatology Residency Program.</t>
  </si>
  <si>
    <t>60.0411</t>
  </si>
  <si>
    <t>Diagnostic Radiology Residency Program.</t>
  </si>
  <si>
    <t>60.0412</t>
  </si>
  <si>
    <t>Emergency Medicine Residency Program.</t>
  </si>
  <si>
    <t>60.0413</t>
  </si>
  <si>
    <t>Family Medicine Residency Program.</t>
  </si>
  <si>
    <t>60.0414</t>
  </si>
  <si>
    <t>General Surgery Residency Program.</t>
  </si>
  <si>
    <t>60.0415</t>
  </si>
  <si>
    <t>Internal Medicine Residency Program.</t>
  </si>
  <si>
    <t>60.0416</t>
  </si>
  <si>
    <t>Neurological Surgery Residency Program.</t>
  </si>
  <si>
    <t>60.0417</t>
  </si>
  <si>
    <t>Neurology Residency Program.</t>
  </si>
  <si>
    <t>60.0418</t>
  </si>
  <si>
    <t>Nuclear Medicine Residency Program.</t>
  </si>
  <si>
    <t>60.0419</t>
  </si>
  <si>
    <t>Obstetrics and Gynecology Residency Program.</t>
  </si>
  <si>
    <t>60.0420</t>
  </si>
  <si>
    <t>Occupational Medicine Residency Program.</t>
  </si>
  <si>
    <t>60.0421</t>
  </si>
  <si>
    <t>Ophthalmology Residency Program.</t>
  </si>
  <si>
    <t>60.0422</t>
  </si>
  <si>
    <t>Orthopedic Surgery Residency Program.</t>
  </si>
  <si>
    <t>60.0423</t>
  </si>
  <si>
    <t>Otolaryngology Residency Program.</t>
  </si>
  <si>
    <t>60.0424</t>
  </si>
  <si>
    <t>Pathology Residency Program.</t>
  </si>
  <si>
    <t>Combined Anatomic and Clinical Pathology Residency Program.</t>
  </si>
  <si>
    <t>60.0425</t>
  </si>
  <si>
    <t>Pediatrics Residency Program.</t>
  </si>
  <si>
    <t>60.0426</t>
  </si>
  <si>
    <t>Physical Medicine and Rehabilitation Residency Program.</t>
  </si>
  <si>
    <t>60.0427</t>
  </si>
  <si>
    <t>Plastic Surgery Residency Program.</t>
  </si>
  <si>
    <t>60.0428</t>
  </si>
  <si>
    <t>Psychiatry Residency Program.</t>
  </si>
  <si>
    <t>60.0429</t>
  </si>
  <si>
    <t>Public Health and General Preventive Medicine Residency Program.</t>
  </si>
  <si>
    <t>60.0430</t>
  </si>
  <si>
    <t>Radiation Oncology Residency Program.</t>
  </si>
  <si>
    <t>60.0431</t>
  </si>
  <si>
    <t>Radiologic Physics Residency Program.</t>
  </si>
  <si>
    <t>60.0432</t>
  </si>
  <si>
    <t>Thoracic Surgery Residency Program.</t>
  </si>
  <si>
    <t>Thoracic Surgery Fellowship Program.</t>
  </si>
  <si>
    <t>60.0433</t>
  </si>
  <si>
    <t>Urology Residency Program.</t>
  </si>
  <si>
    <t>60.0434</t>
  </si>
  <si>
    <t>Vascular Surgery Residency Program.</t>
  </si>
  <si>
    <t>Vascular Surgery Fellowship Program.</t>
  </si>
  <si>
    <t>60.0499</t>
  </si>
  <si>
    <t>Medical Residency Programs - General Certificates, Other.</t>
  </si>
  <si>
    <t>Deleted, report under 61</t>
  </si>
  <si>
    <t>60.0501</t>
  </si>
  <si>
    <t>Addiction Psychiatry Residency Program.</t>
  </si>
  <si>
    <t>Addiction Psychiatry Fellowship Program.</t>
  </si>
  <si>
    <t>60.0502</t>
  </si>
  <si>
    <t>Adolescent Medicine Residency Program.</t>
  </si>
  <si>
    <t>Adolescent Medicine Fellowship Program.</t>
  </si>
  <si>
    <t>60.0503</t>
  </si>
  <si>
    <t>Blood Banking/Transfusion Medicine Residency Program.</t>
  </si>
  <si>
    <t>Blood Banking/Transfusion Medicine Fellowship Program.</t>
  </si>
  <si>
    <t>60.0504</t>
  </si>
  <si>
    <t>Cardiovascular Disease Residency Program.</t>
  </si>
  <si>
    <t>Cardiovascular Disease Fellowship Program.</t>
  </si>
  <si>
    <t>60.0505</t>
  </si>
  <si>
    <t>Chemical Pathology Residency Program.</t>
  </si>
  <si>
    <t>Chemical Pathology Fellowship Program.</t>
  </si>
  <si>
    <t>60.0506</t>
  </si>
  <si>
    <t>Child Abuse Pediatrics Residency Program.</t>
  </si>
  <si>
    <t>Child Abuse Pediatrics Fellowship Program.</t>
  </si>
  <si>
    <t>60.0507</t>
  </si>
  <si>
    <t>Child and Adolescent Psychiatry Residency Program.</t>
  </si>
  <si>
    <t>Child and Adolescent Psychiatry Fellowship Program.</t>
  </si>
  <si>
    <t>60.0508</t>
  </si>
  <si>
    <t>Clinical Cardiac Electrophysiology Residency Program.</t>
  </si>
  <si>
    <t>Clinical Cardiac Electrophysiology Fellowship Program.</t>
  </si>
  <si>
    <t>60.0509</t>
  </si>
  <si>
    <t>Clinical Neurophysiology Residency Program.</t>
  </si>
  <si>
    <t>Clinical Neurophysiology Fellowship Program.</t>
  </si>
  <si>
    <t>60.0510</t>
  </si>
  <si>
    <t>Congenital Cardiac Surgery Residency Program.</t>
  </si>
  <si>
    <t>Congenital Cardiac Surgery Fellowship Program.</t>
  </si>
  <si>
    <t>60.0511</t>
  </si>
  <si>
    <t>Critical Care Medicine Residency Program.</t>
  </si>
  <si>
    <t>Critical Care Medicine Fellowship Program.</t>
  </si>
  <si>
    <t>60.0512</t>
  </si>
  <si>
    <t>Cytopathology Residency Program.</t>
  </si>
  <si>
    <t>Cytopathology Fellowship Program.</t>
  </si>
  <si>
    <t>60.0513</t>
  </si>
  <si>
    <t>Dermatopathology Residency Program.</t>
  </si>
  <si>
    <t>Dermatopathology Fellowship Program.</t>
  </si>
  <si>
    <t>60.0514</t>
  </si>
  <si>
    <t>Developmental-Behavioral Pediatrics Residency Program.</t>
  </si>
  <si>
    <t>Developmental-Behavioral Pediatrics Fellowship Program.</t>
  </si>
  <si>
    <t>60.0515</t>
  </si>
  <si>
    <t>Diagnostic Radiologic Physics Residency Program.</t>
  </si>
  <si>
    <t>60.0516</t>
  </si>
  <si>
    <t>Endocrinology, Diabetes and Metabolism Residency Program.</t>
  </si>
  <si>
    <t>Endocrinology, Diabetes, and Metabolism Fellowship Program.</t>
  </si>
  <si>
    <t>60.0517</t>
  </si>
  <si>
    <t>Forensic Pathology Residency Program.</t>
  </si>
  <si>
    <t>Forensic Pathology Fellowship Program.</t>
  </si>
  <si>
    <t>60.0518</t>
  </si>
  <si>
    <t>Forensic Psychiatry Residency Program.</t>
  </si>
  <si>
    <t>Forensic Psychiatry Fellowship Program.</t>
  </si>
  <si>
    <t>60.0519</t>
  </si>
  <si>
    <t>Gastroenterology Residency Program.</t>
  </si>
  <si>
    <t>Gastroenterology Fellowship Program.</t>
  </si>
  <si>
    <t>60.0520</t>
  </si>
  <si>
    <t>Geriatric Medicine Residency Program.</t>
  </si>
  <si>
    <t>Geriatric Medicine Fellowship Program.</t>
  </si>
  <si>
    <t>60.0521</t>
  </si>
  <si>
    <t>Geriatric Psychiatry Residency Program.</t>
  </si>
  <si>
    <t>Geriatric Psychiatry Fellowship Program.</t>
  </si>
  <si>
    <t>60.0522</t>
  </si>
  <si>
    <t>Gynecologic Oncology Residency Program.</t>
  </si>
  <si>
    <t>Gynecologic Oncology Fellowship Program.</t>
  </si>
  <si>
    <t>60.0523</t>
  </si>
  <si>
    <t>Hematological Pathology Residency Program.</t>
  </si>
  <si>
    <t>Hematological Pathology Fellowship Program.</t>
  </si>
  <si>
    <t>60.0524</t>
  </si>
  <si>
    <t>Hematology Residency Program.</t>
  </si>
  <si>
    <t>Hematology Fellowship Program.</t>
  </si>
  <si>
    <t>60.0525</t>
  </si>
  <si>
    <t>Hospice and Palliative Medicine Residency Program.</t>
  </si>
  <si>
    <t>Hospice and Palliative Medicine Fellowship Program.</t>
  </si>
  <si>
    <t>60.0526</t>
  </si>
  <si>
    <t>Immunopathology Residency Program.</t>
  </si>
  <si>
    <t>Immunopathology Fellowship Program.</t>
  </si>
  <si>
    <t>60.0527</t>
  </si>
  <si>
    <t>Infectious Disease Residency Program.</t>
  </si>
  <si>
    <t>Infectious Disease Fellowship Program.</t>
  </si>
  <si>
    <t>60.0528</t>
  </si>
  <si>
    <t>Interventional Cardiology Residency Program.</t>
  </si>
  <si>
    <t>Interventional Cardiology Fellowship Program.</t>
  </si>
  <si>
    <t>60.0529</t>
  </si>
  <si>
    <t>Laboratory Medicine Residency Program.</t>
  </si>
  <si>
    <t>Laboratory Medicine Fellowship Program.</t>
  </si>
  <si>
    <t>60.0530</t>
  </si>
  <si>
    <t>Maternal and Fetal Medicine Residency Program.</t>
  </si>
  <si>
    <t>Maternal and Fetal Medicine Fellowship Program.</t>
  </si>
  <si>
    <t>60.0531</t>
  </si>
  <si>
    <t>Medical Biochemical Genetics Residency Program.</t>
  </si>
  <si>
    <t>60.0532</t>
  </si>
  <si>
    <t>Medical Microbiology Residency Program.</t>
  </si>
  <si>
    <t>Medical Microbiology Fellowship Program.</t>
  </si>
  <si>
    <t>60.0533</t>
  </si>
  <si>
    <t>Medical Nuclear Physics Residency Program.</t>
  </si>
  <si>
    <t>60.0534</t>
  </si>
  <si>
    <t>Medical Oncology Residency Program.</t>
  </si>
  <si>
    <t>Medical Oncology Fellowship Program.</t>
  </si>
  <si>
    <t>60.0535</t>
  </si>
  <si>
    <t>Medical Toxicology Residency Program.</t>
  </si>
  <si>
    <t>Medical Toxicology Fellowship Program.</t>
  </si>
  <si>
    <t>60.0536</t>
  </si>
  <si>
    <t>Molecular Genetic Pathology Residency Program.</t>
  </si>
  <si>
    <t>Molecular Genetic Pathology Fellowship Program.</t>
  </si>
  <si>
    <t>60.0537</t>
  </si>
  <si>
    <t>Musculoskeletal Oncology Residency Program.</t>
  </si>
  <si>
    <t>Musculoskeletal Oncology Fellowship Program.</t>
  </si>
  <si>
    <t>60.0538</t>
  </si>
  <si>
    <t>Neonatal-Perinatal Medicine Residency Program.</t>
  </si>
  <si>
    <t>Neonatal-Perinatal Medicine Fellowship Program.</t>
  </si>
  <si>
    <t>60.0539</t>
  </si>
  <si>
    <t>Nephrology Residency Program.</t>
  </si>
  <si>
    <t>Nephrology Fellowship Program.</t>
  </si>
  <si>
    <t>60.0540</t>
  </si>
  <si>
    <t>Neurodevelopmental Disabilities Residency Program.</t>
  </si>
  <si>
    <t>Neurodevelopmental Disabilities Fellowship Program.</t>
  </si>
  <si>
    <t>60.0541</t>
  </si>
  <si>
    <t>Neuromuscular Medicine Residency Program.</t>
  </si>
  <si>
    <t>Neuromuscular Medicine Fellowship Program.</t>
  </si>
  <si>
    <t>60.0542</t>
  </si>
  <si>
    <t>Neuropathology Residency Program.</t>
  </si>
  <si>
    <t>Neuropathology Fellowship Program.</t>
  </si>
  <si>
    <t>60.0543</t>
  </si>
  <si>
    <t>Neuroradiology Residency Program.</t>
  </si>
  <si>
    <t>Neuroradiology Fellowship Program.</t>
  </si>
  <si>
    <t>60.0544</t>
  </si>
  <si>
    <t>Neurotology Residency Program.</t>
  </si>
  <si>
    <t>Neurotology Fellowship Program.</t>
  </si>
  <si>
    <t>60.0545</t>
  </si>
  <si>
    <t>Nuclear Radiology Residency Program.</t>
  </si>
  <si>
    <t>Nuclear Radiology Fellowship Program.</t>
  </si>
  <si>
    <t>60.0546</t>
  </si>
  <si>
    <t>Orthopedic Sports Medicine Residency Program.</t>
  </si>
  <si>
    <t>Orthopedic Sports Medicine Fellowship Program.</t>
  </si>
  <si>
    <t>60.0547</t>
  </si>
  <si>
    <t>Orthopedic Surgery of the Spine Residency Program.</t>
  </si>
  <si>
    <t>Orthopedic Surgery of the Spine Fellowship Program.</t>
  </si>
  <si>
    <t>60.0548</t>
  </si>
  <si>
    <t>Pain Medicine Residency Program.</t>
  </si>
  <si>
    <t>Pain Medicine Fellowship Program.</t>
  </si>
  <si>
    <t>60.0549</t>
  </si>
  <si>
    <t>Pediatric Cardiology Residency Program.</t>
  </si>
  <si>
    <t>Pediatric Cardiology Fellowship Program.</t>
  </si>
  <si>
    <t>60.0550</t>
  </si>
  <si>
    <t>Pediatric Critical Care Medicine Residency Program.</t>
  </si>
  <si>
    <t>Pediatric Critical Care Medicine Fellowship Program.</t>
  </si>
  <si>
    <t>60.0551</t>
  </si>
  <si>
    <t>Pediatric Dermatology Residency Program.</t>
  </si>
  <si>
    <t>Pediatric Dermatology Fellowship Program.</t>
  </si>
  <si>
    <t>60.0552</t>
  </si>
  <si>
    <t>Pediatric Emergency Medicine Residency Program.</t>
  </si>
  <si>
    <t>Pediatric Emergency Medicine Fellowship Program.</t>
  </si>
  <si>
    <t>60.0553</t>
  </si>
  <si>
    <t>Pediatric Endocrinology Residency Program.</t>
  </si>
  <si>
    <t>Pediatric Endocrinology Fellowship Program.</t>
  </si>
  <si>
    <t>60.0554</t>
  </si>
  <si>
    <t>Pediatric Gastroenterology Residency Program.</t>
  </si>
  <si>
    <t>Pediatric Gastroenterology Fellowship Program.</t>
  </si>
  <si>
    <t>60.0555</t>
  </si>
  <si>
    <t>Pediatric Hematology-Oncology Residency Program.</t>
  </si>
  <si>
    <t>Pediatric Hematology-Oncology Fellowship Program.</t>
  </si>
  <si>
    <t>60.0556</t>
  </si>
  <si>
    <t>Pediatric Infectious Diseases Residency Program.</t>
  </si>
  <si>
    <t>Pediatric Infectious Diseases Fellowship Program.</t>
  </si>
  <si>
    <t>60.0557</t>
  </si>
  <si>
    <t>Pediatric Nephrology Residency Program.</t>
  </si>
  <si>
    <t>Pediatric Nephrology Fellowship Program.</t>
  </si>
  <si>
    <t>60.0558</t>
  </si>
  <si>
    <t>Pediatric Orthopedics Residency Program.</t>
  </si>
  <si>
    <t>Pediatric Orthopedics Fellowship Program.</t>
  </si>
  <si>
    <t>60.0559</t>
  </si>
  <si>
    <t>Pediatric Otolaryngology Residency Program.</t>
  </si>
  <si>
    <t>Pediatric Otolaryngology Fellowship Program.</t>
  </si>
  <si>
    <t>60.0560</t>
  </si>
  <si>
    <t>Pediatric Pathology Residency Program.</t>
  </si>
  <si>
    <t>Pediatric Pathology Fellowship Program.</t>
  </si>
  <si>
    <t>60.0561</t>
  </si>
  <si>
    <t>Pediatric Pulmonology Residency Program.</t>
  </si>
  <si>
    <t>Pediatric Pulmonology Fellowship Program.</t>
  </si>
  <si>
    <t>60.0562</t>
  </si>
  <si>
    <t>Pediatric Radiology Residency Program.</t>
  </si>
  <si>
    <t>Pediatric Radiology Fellowship Program.</t>
  </si>
  <si>
    <t>60.0563</t>
  </si>
  <si>
    <t>Pediatric Rehabilitation Medicine Residency Program.</t>
  </si>
  <si>
    <t>Pediatric Rehabilitation Medicine Fellowship Program.</t>
  </si>
  <si>
    <t>60.0564</t>
  </si>
  <si>
    <t>Pediatric Rheumatology Residency Program.</t>
  </si>
  <si>
    <t>Pediatric Rheumatology Fellowship Program.</t>
  </si>
  <si>
    <t>60.0565</t>
  </si>
  <si>
    <t>Pediatric Surgery Residency Program.</t>
  </si>
  <si>
    <t>Pediatric Surgery Fellowship Program.</t>
  </si>
  <si>
    <t>60.0566</t>
  </si>
  <si>
    <t>Pediatric Transplant Hepatology Residency Program.</t>
  </si>
  <si>
    <t>Pediatric Transplant Hepatology Fellowship Program.</t>
  </si>
  <si>
    <t>60.0567</t>
  </si>
  <si>
    <t>Pediatric Urology Residency Program.</t>
  </si>
  <si>
    <t>Pediatric Urology Fellowship Program.</t>
  </si>
  <si>
    <t>60.0568</t>
  </si>
  <si>
    <t>Physical Medicine and Rehabilitation/Psychiatry Residency Program.</t>
  </si>
  <si>
    <t>Deleted, report under 61.0199</t>
  </si>
  <si>
    <t>60.0569</t>
  </si>
  <si>
    <t>Plastic Surgery Within the Head and Neck Residency Program.</t>
  </si>
  <si>
    <t>Plastic Surgery Within the Head and Neck Fellowship Program.</t>
  </si>
  <si>
    <t>60.0570</t>
  </si>
  <si>
    <t>Psychosomatic Medicine Residency Program.</t>
  </si>
  <si>
    <t>Consultation-Liaison Psychiatry Fellowship Program.</t>
  </si>
  <si>
    <t>60.0571</t>
  </si>
  <si>
    <t>Pulmonary Disease Residency Program.</t>
  </si>
  <si>
    <t>Pulmonary Disease Fellowship Program.</t>
  </si>
  <si>
    <t>60.0572</t>
  </si>
  <si>
    <t>Radioisotopic Pathology Residency Program.</t>
  </si>
  <si>
    <t>Radioisotopic Pathology Fellowship Program.</t>
  </si>
  <si>
    <t>60.0573</t>
  </si>
  <si>
    <t>Reproductive Endocrinology/Infertility Residency Program.</t>
  </si>
  <si>
    <t>Reproductive Endocrinology/Infertility Fellowship Program.</t>
  </si>
  <si>
    <t>60.0574</t>
  </si>
  <si>
    <t>Rheumatology Residency Program.</t>
  </si>
  <si>
    <t>Rheumatology Fellowship Program.</t>
  </si>
  <si>
    <t>60.0575</t>
  </si>
  <si>
    <t>Sleep Medicine Residency Program.</t>
  </si>
  <si>
    <t>Sleep Medicine Fellowship Program.</t>
  </si>
  <si>
    <t>60.0576</t>
  </si>
  <si>
    <t>Spinal Cord Injury Medicine Residency Program.</t>
  </si>
  <si>
    <t>Spinal Cord Injury Medicine Fellowship Program.</t>
  </si>
  <si>
    <t>60.0577</t>
  </si>
  <si>
    <t>Sports Medicine Residency Program.</t>
  </si>
  <si>
    <t>Sports Medicine Fellowship Program.</t>
  </si>
  <si>
    <t>60.0578</t>
  </si>
  <si>
    <t>Surgery of the Hand Residency Program.</t>
  </si>
  <si>
    <t>Surgery of the Hand Fellowship Program.</t>
  </si>
  <si>
    <t>60.0579</t>
  </si>
  <si>
    <t>Surgical Critical Care Residency Program.</t>
  </si>
  <si>
    <t>Surgical Critical Care Fellowship Program.</t>
  </si>
  <si>
    <t>60.0580</t>
  </si>
  <si>
    <t>Therapeutic Radiologic Physics Residency Program.</t>
  </si>
  <si>
    <t>60.0581</t>
  </si>
  <si>
    <t>Transplant Hepatology Residency Program.</t>
  </si>
  <si>
    <t>Transplant Hepatology Fellowship Program.</t>
  </si>
  <si>
    <t>60.0582</t>
  </si>
  <si>
    <t>Undersea and Hyperbaric Medicine Residency Program.</t>
  </si>
  <si>
    <t>Undersea and Hyperbaric Medicine Fellowship Program.</t>
  </si>
  <si>
    <t>60.0583</t>
  </si>
  <si>
    <t>Vascular and Interventional Radiology Residency Program.</t>
  </si>
  <si>
    <t>Vascular and Interventional Radiology Fellowship Program.</t>
  </si>
  <si>
    <t>60.0584</t>
  </si>
  <si>
    <t>Vascular Neurology Residency Program.</t>
  </si>
  <si>
    <t>Vascular Neurology Fellowship Program.</t>
  </si>
  <si>
    <t>60.0599</t>
  </si>
  <si>
    <t>Medical Residency Programs - Subspecialty Certificates, Other.</t>
  </si>
  <si>
    <t>60.0601</t>
  </si>
  <si>
    <t>Podiatric Medicine and Surgery - 24 Residency Program.</t>
  </si>
  <si>
    <t>Deleted, report under 61.2201</t>
  </si>
  <si>
    <t>60.0602</t>
  </si>
  <si>
    <t>Podiatric Medicine and Surgery - 36 Residency Program.</t>
  </si>
  <si>
    <t>CIPs</t>
  </si>
  <si>
    <t>01.0000: Agriculture, General.</t>
  </si>
  <si>
    <t>01.0101: Agricultural Business and Management, General.</t>
  </si>
  <si>
    <t>01.0102: Agribusiness/Agricultural Business Operations.</t>
  </si>
  <si>
    <t>01.0103: Agricultural Economics.</t>
  </si>
  <si>
    <t>01.0104: Farm/Farm and Ranch Management.</t>
  </si>
  <si>
    <t>01.0105: Agricultural/Farm Supplies Retailing and Wholesaling.</t>
  </si>
  <si>
    <t>01.0106: Agricultural Business Technology/Technician.</t>
  </si>
  <si>
    <t>01.0199: Agricultural Business and Management, Other.</t>
  </si>
  <si>
    <t>01.0201: Agricultural Mechanization, General.</t>
  </si>
  <si>
    <t>01.0204: Agricultural Power Machinery Operation.</t>
  </si>
  <si>
    <t>01.0205: Agricultural Mechanics and Equipment/Machine Technology/Technician.</t>
  </si>
  <si>
    <t>01.0207: Irrigation Management Technology/Technician.</t>
  </si>
  <si>
    <t>01.0299: Agricultural Mechanization, Other.</t>
  </si>
  <si>
    <t>01.0301: Agricultural Production Operations, General.</t>
  </si>
  <si>
    <t>01.0302: Animal/Livestock Husbandry and Production.</t>
  </si>
  <si>
    <t>01.0303: Aquaculture.</t>
  </si>
  <si>
    <t>01.0304: Crop Production.</t>
  </si>
  <si>
    <t>01.0306: Dairy Husbandry and Production.</t>
  </si>
  <si>
    <t>01.0307: Horse Husbandry/Equine Science and Management.</t>
  </si>
  <si>
    <t>01.0308: Agroecology and Sustainable Agriculture.</t>
  </si>
  <si>
    <t>01.1004: Viticulture and Enology.</t>
  </si>
  <si>
    <t>01.0310: Apiculture.</t>
  </si>
  <si>
    <t>01.0399: Agricultural Production Operations, Other.</t>
  </si>
  <si>
    <t>01.0401: Agricultural and Food Products Processing.</t>
  </si>
  <si>
    <t>01.0480: Reserved.</t>
  </si>
  <si>
    <t>01.0504: Dog/Pet/Animal Grooming.</t>
  </si>
  <si>
    <t>01.0505: Animal Training.</t>
  </si>
  <si>
    <t>01.0507: Equestrian/Equine Studies.</t>
  </si>
  <si>
    <t>01.0508: Taxidermy/Taxidermist.</t>
  </si>
  <si>
    <t>01.0509: Farrier Science.</t>
  </si>
  <si>
    <t>01.0599: Agricultural and Domestic Animal Services, Other.</t>
  </si>
  <si>
    <t>01.0601: Applied Horticulture/Horticulture Operations, General.</t>
  </si>
  <si>
    <t>01.0603: Ornamental Horticulture.</t>
  </si>
  <si>
    <t>01.0604: Greenhouse Operations and Management.</t>
  </si>
  <si>
    <t>01.0605: Landscaping and Groundskeeping.</t>
  </si>
  <si>
    <t>01.0606: Plant Nursery Operations and Management.</t>
  </si>
  <si>
    <t>01.0607: Turf and Turfgrass Management.</t>
  </si>
  <si>
    <t>01.0608: Floriculture/Floristry Operations and Management.</t>
  </si>
  <si>
    <t>01.0609: Public Horticulture.</t>
  </si>
  <si>
    <t>01.0610: Urban and Community Horticulture.</t>
  </si>
  <si>
    <t>01.0680: Reserved.</t>
  </si>
  <si>
    <t>01.0699: Applied Horticulture/Horticultural Business Services, Other.</t>
  </si>
  <si>
    <t>01.0701: International Agriculture.</t>
  </si>
  <si>
    <t>01.0801: Agricultural and Extension Education Services.</t>
  </si>
  <si>
    <t>01.0802: Agricultural Communication/Journalism.</t>
  </si>
  <si>
    <t>01.0899: Agricultural Public Services, Other.</t>
  </si>
  <si>
    <t>01.0901: Animal Sciences, General.</t>
  </si>
  <si>
    <t>01.0902: Agricultural Animal Breeding.</t>
  </si>
  <si>
    <t>01.0903: Animal Health.</t>
  </si>
  <si>
    <t>01.0904: Animal Nutrition.</t>
  </si>
  <si>
    <t>01.0905: Dairy Science.</t>
  </si>
  <si>
    <t>01.0906: Livestock Management.</t>
  </si>
  <si>
    <t>01.0907: Poultry Science.</t>
  </si>
  <si>
    <t>01.0999: Animal Sciences, Other.</t>
  </si>
  <si>
    <t>01.1001: Food Science.</t>
  </si>
  <si>
    <t>01.1002: Food Technology and Processing.</t>
  </si>
  <si>
    <t>01.1003: Brewing Science.</t>
  </si>
  <si>
    <t>01.1005: Zymology/Fermentation Science.</t>
  </si>
  <si>
    <t>01.1099: Food Science and Technology, Other.</t>
  </si>
  <si>
    <t>01.1101: Plant Sciences, General.</t>
  </si>
  <si>
    <t>01.1102: Agronomy and Crop Science.</t>
  </si>
  <si>
    <t>01.1103: Horticultural Science.</t>
  </si>
  <si>
    <t>01.1104: Agricultural and Horticultural Plant Breeding.</t>
  </si>
  <si>
    <t>01.1105: Plant Protection and Integrated Pest Management.</t>
  </si>
  <si>
    <t>01.1106: Range Science and Management.</t>
  </si>
  <si>
    <t>01.1180: Reserved.</t>
  </si>
  <si>
    <t>01.1199: Plant Sciences, Other.</t>
  </si>
  <si>
    <t>01.1201: Soil Science and Agronomy, General.</t>
  </si>
  <si>
    <t>01.1202: Soil Chemistry and Physics.</t>
  </si>
  <si>
    <t>01.1203: Soil Microbiology.</t>
  </si>
  <si>
    <t>01.1299: Soil Sciences, Other.</t>
  </si>
  <si>
    <t>01.1399: Agriculture/Veterinary Preparatory Programs, Other.</t>
  </si>
  <si>
    <t>01.8201: Veterinary Administrative Services, General.</t>
  </si>
  <si>
    <t>01.8202: Veterinary Office Management/Administration.</t>
  </si>
  <si>
    <t>01.8203: Veterinary Reception/Receptionist.</t>
  </si>
  <si>
    <t>01.8204: Veterinary Administrative/Executive Assistant and Veterinary Secretary.</t>
  </si>
  <si>
    <t>01.8299: Veterinary Administrative Services, Other.</t>
  </si>
  <si>
    <t>01.8399: Veterinary/Animal Health Technologies/Technicians, Other.</t>
  </si>
  <si>
    <t>01.9999: Agricultural/Animal/Plant/Veterinary Science and Related Fields, Other.</t>
  </si>
  <si>
    <t>03.0101: Natural Resources/Conservation, General.</t>
  </si>
  <si>
    <t>03.0103: Environmental Studies.</t>
  </si>
  <si>
    <t>03.0104: Environmental Science.</t>
  </si>
  <si>
    <t>03.0199: Natural Resources Conservation and Research, Other.</t>
  </si>
  <si>
    <t>03.0201: Environmental/Natural Resources Management and Policy, General.</t>
  </si>
  <si>
    <t>03.0204: Environmental/Natural Resource Economics.</t>
  </si>
  <si>
    <t>03.0205: Water, Wetlands, and Marine Resources Management.</t>
  </si>
  <si>
    <t>03.0206: Land Use Planning and Management/Development.</t>
  </si>
  <si>
    <t>03.0207: Environmental/Natural Resource Recreation and Tourism.</t>
  </si>
  <si>
    <t>03.0208: Environmental/Natural Resources Law Enforcement and Protective Services.</t>
  </si>
  <si>
    <t>03.0209: Energy and Environmental Policy.</t>
  </si>
  <si>
    <t>03.0210: Bioenergy.</t>
  </si>
  <si>
    <t>03.0299: Environmental/Natural Resources Management and Policy, Other.</t>
  </si>
  <si>
    <t>03.0301: Fishing and Fisheries Sciences and Management.</t>
  </si>
  <si>
    <t>03.0501: Forestry, General.</t>
  </si>
  <si>
    <t>03.0502: Forest Sciences and Biology.</t>
  </si>
  <si>
    <t>03.0506: Forest Management/Forest Resources Management.</t>
  </si>
  <si>
    <t>03.0508: Urban Forestry.</t>
  </si>
  <si>
    <t>03.0509: Wood Science and Wood Products/Pulp and Paper Technology/Technician.</t>
  </si>
  <si>
    <t>03.0510: Forest Resources Production and Management.</t>
  </si>
  <si>
    <t>03.0511: Forest Technology/Technician.</t>
  </si>
  <si>
    <t>03.0599: Forestry, Other.</t>
  </si>
  <si>
    <t>03.0601: Wildlife, Fish and Wildlands Science and Management.</t>
  </si>
  <si>
    <t>03.9999: Natural Resources and Conservation, Other.</t>
  </si>
  <si>
    <t>04.0200: Pre-Architecture Studies.</t>
  </si>
  <si>
    <t>04.0201: Architecture.</t>
  </si>
  <si>
    <t>04.0202: Architectural Design.</t>
  </si>
  <si>
    <t>04.0299: Architecture, Other.</t>
  </si>
  <si>
    <t>04.0301: City/Urban, Community, and Regional Planning.</t>
  </si>
  <si>
    <t>04.0401: Environmental Design/Architecture.</t>
  </si>
  <si>
    <t>04.0402: Healthcare Environment Design/Architecture.</t>
  </si>
  <si>
    <t>04.0403: Sustainable Design/Architecture.</t>
  </si>
  <si>
    <t>04.0499: Environmental Design, Other.</t>
  </si>
  <si>
    <t>04.0501: Interior Architecture.</t>
  </si>
  <si>
    <t>04.0601: Landscape Architecture.</t>
  </si>
  <si>
    <t>04.0801: Architectural History and Criticism, General.</t>
  </si>
  <si>
    <t>04.0802: Architectural Conservation.</t>
  </si>
  <si>
    <t>04.0803: Architectural Studies.</t>
  </si>
  <si>
    <t>04.0899: Architectural History, Criticism, and Conservation, Other.</t>
  </si>
  <si>
    <t>04.0901: Architectural Technology/Technician.</t>
  </si>
  <si>
    <t>04.0902: Architectural and Building Sciences/Technology.</t>
  </si>
  <si>
    <t>04.0999: Architectural Sciences and Technology, Other.</t>
  </si>
  <si>
    <t>04.1001: Real Estate Development.</t>
  </si>
  <si>
    <t>04.9999: Architecture and Related Services, Other.</t>
  </si>
  <si>
    <t>05.0101: African Studies.</t>
  </si>
  <si>
    <t>05.0102: American/United States Studies/Civilization.</t>
  </si>
  <si>
    <t>05.0103: Asian Studies/Civilization.</t>
  </si>
  <si>
    <t>05.0104: East Asian Studies.</t>
  </si>
  <si>
    <t>05.0105: Russian, Central European, East European and Eurasian Studies.</t>
  </si>
  <si>
    <t>05.0106: European Studies/Civilization.</t>
  </si>
  <si>
    <t>05.0107: Latin American Studies.</t>
  </si>
  <si>
    <t>05.0108: Near and Middle Eastern Studies.</t>
  </si>
  <si>
    <t>05.0109: Pacific Area/Pacific Rim Studies.</t>
  </si>
  <si>
    <t>05.0110: Russian Studies.</t>
  </si>
  <si>
    <t>05.0111: Scandinavian Studies.</t>
  </si>
  <si>
    <t>05.0112: South Asian Studies.</t>
  </si>
  <si>
    <t>05.0113: Southeast Asian Studies.</t>
  </si>
  <si>
    <t>05.0114: Western European Studies.</t>
  </si>
  <si>
    <t>05.0115: Canadian Studies.</t>
  </si>
  <si>
    <t>05.0116: Balkans Studies.</t>
  </si>
  <si>
    <t>05.0117: Baltic Studies.</t>
  </si>
  <si>
    <t>05.0118: Slavic Studies.</t>
  </si>
  <si>
    <t>05.0119: Caribbean Studies.</t>
  </si>
  <si>
    <t>05.0120: Ural-Altaic and Central Asian Studies.</t>
  </si>
  <si>
    <t>05.0121: Commonwealth Studies.</t>
  </si>
  <si>
    <t>05.0122: Regional Studies (U.S., Canadian, Foreign).</t>
  </si>
  <si>
    <t>05.0123: Chinese Studies.</t>
  </si>
  <si>
    <t>05.0124: French Studies.</t>
  </si>
  <si>
    <t>05.0125: German Studies.</t>
  </si>
  <si>
    <t>05.0126: Italian Studies.</t>
  </si>
  <si>
    <t>05.0127: Japanese Studies.</t>
  </si>
  <si>
    <t>05.0128: Korean Studies.</t>
  </si>
  <si>
    <t>05.0129: Polish Studies.</t>
  </si>
  <si>
    <t>05.0130: Spanish and Iberian Studies.</t>
  </si>
  <si>
    <t>05.0131: Tibetan Studies.</t>
  </si>
  <si>
    <t>05.0132: Ukraine Studies.</t>
  </si>
  <si>
    <t>05.0133: Irish Studies.</t>
  </si>
  <si>
    <t>05.0134: Latin American and Caribbean Studies.</t>
  </si>
  <si>
    <t>05.0135: Appalachian Studies.</t>
  </si>
  <si>
    <t>05.0136: Arctic Studies.</t>
  </si>
  <si>
    <t>05.0199: Area Studies, Other.</t>
  </si>
  <si>
    <t>05.0200: Ethnic Studies.</t>
  </si>
  <si>
    <t>05.0201: African-American/Black Studies.</t>
  </si>
  <si>
    <t>05.0202: American Indian/Native American Studies.</t>
  </si>
  <si>
    <t>05.0203: Hispanic-American, Puerto Rican, and Mexican-American/Chicano Studies.</t>
  </si>
  <si>
    <t>05.0206: Asian-American Studies.</t>
  </si>
  <si>
    <t>05.0207: Women&amp;#39;s Studies.</t>
  </si>
  <si>
    <t>05.0208: Gay/Lesbian Studies.</t>
  </si>
  <si>
    <t>05.0209: Folklore Studies.</t>
  </si>
  <si>
    <t>05.0210: Disability Studies.</t>
  </si>
  <si>
    <t>05.0211: Deaf Studies.</t>
  </si>
  <si>
    <t>05.0212: Comparative Group Studies.</t>
  </si>
  <si>
    <t>05.0299: Ethnic, Cultural Minority, Gender, and Group Studies, Other.</t>
  </si>
  <si>
    <t>05.9999: Area, Ethnic, Cultural, Gender, and Group Studies, Other.</t>
  </si>
  <si>
    <t>09.0100: Communication, General.</t>
  </si>
  <si>
    <t>09.0101: Speech Communication and Rhetoric.</t>
  </si>
  <si>
    <t>09.0102: Mass Communication/Media Studies.</t>
  </si>
  <si>
    <t>09.0199: Communication and Media Studies, Other.</t>
  </si>
  <si>
    <t>09.0401: Journalism.</t>
  </si>
  <si>
    <t>09.0402: Broadcast Journalism.</t>
  </si>
  <si>
    <t>09.0404: Photojournalism.</t>
  </si>
  <si>
    <t>09.0405: Business and Economic Journalism.</t>
  </si>
  <si>
    <t>09.0406: Cultural Journalism.</t>
  </si>
  <si>
    <t>09.0407: Science/Health/Environmental Journalism.</t>
  </si>
  <si>
    <t>09.0499: Journalism, Other.</t>
  </si>
  <si>
    <t>09.0701: Radio and Television.</t>
  </si>
  <si>
    <t>09.0702: Digital Communication and Media/Multimedia.</t>
  </si>
  <si>
    <t>09.0799: Radio, Television, and Digital Communication, Other.</t>
  </si>
  <si>
    <t>09.0900: Public Relations, Advertising, and Applied Communication.</t>
  </si>
  <si>
    <t>09.0901: Organizational Communication, General.</t>
  </si>
  <si>
    <t>09.0902: Public Relations/Image Management.</t>
  </si>
  <si>
    <t>09.0903: Advertising.</t>
  </si>
  <si>
    <t>09.0904: Political Communication.</t>
  </si>
  <si>
    <t>09.0905: Health Communication.</t>
  </si>
  <si>
    <t>09.0906: Sports Communication.</t>
  </si>
  <si>
    <t>09.0907: International and Intercultural Communication.</t>
  </si>
  <si>
    <t>09.0908: Technical and Scientific Communication.</t>
  </si>
  <si>
    <t>09.0909: Communication Management and Strategic Communications.</t>
  </si>
  <si>
    <t>09.0999: Public Relations, Advertising, and Applied Communication, Other.</t>
  </si>
  <si>
    <t>09.1001: Publishing.</t>
  </si>
  <si>
    <t>09.9999: Communication, Journalism, and Related Programs, Other.</t>
  </si>
  <si>
    <t>10.0105: Communications Technology/Technician.</t>
  </si>
  <si>
    <t>10.0201: Photographic and Film/Video Technology/Technician.</t>
  </si>
  <si>
    <t>10.0202: Radio and Television Broadcasting Technology/Technician.</t>
  </si>
  <si>
    <t>10.0203: Recording Arts Technology/Technician.</t>
  </si>
  <si>
    <t>10.0204: Voice Writing Technology/Technician.</t>
  </si>
  <si>
    <t>10.0299: Audiovisual Communications Technologies/Technicians, Other.</t>
  </si>
  <si>
    <t>10.0301: Graphic Communications, General.</t>
  </si>
  <si>
    <t>10.0302: Printing Management.</t>
  </si>
  <si>
    <t>10.0303: Prepress/Desktop Publishing and Digital Imaging Design.</t>
  </si>
  <si>
    <t>10.0304: Animation, Interactive Technology, Video Graphics, and Special Effects.</t>
  </si>
  <si>
    <t>10.0305: Graphic and Printing Equipment Operator, General Production.</t>
  </si>
  <si>
    <t>10.0306: Platemaker/Imager.</t>
  </si>
  <si>
    <t>10.0307: Printing Press Operator.</t>
  </si>
  <si>
    <t>10.0308: Computer Typography and Composition Equipment Operator.</t>
  </si>
  <si>
    <t>10.0399: Graphic Communications, Other.</t>
  </si>
  <si>
    <t>10.9999: Communications Technologies/Technicians and Support Services, Other.</t>
  </si>
  <si>
    <t>11.0101: Computer and Information Sciences, General.</t>
  </si>
  <si>
    <t>11.0102: Artificial Intelligence.</t>
  </si>
  <si>
    <t>11.0103: Information Technology.</t>
  </si>
  <si>
    <t>11.0104: Informatics.</t>
  </si>
  <si>
    <t>11.0105: Human-Centered Technology Design.</t>
  </si>
  <si>
    <t>11.0199: Computer and Information Sciences,  Other.</t>
  </si>
  <si>
    <t>11.0201: Computer Programming/Programmer, General.</t>
  </si>
  <si>
    <t>11.0202: Computer Programming, Specific Applications.</t>
  </si>
  <si>
    <t>11.0203: Computer Programming, Vendor/Product Certification.</t>
  </si>
  <si>
    <t>11.0204: Computer Game Programming.</t>
  </si>
  <si>
    <t>11.0205: Computer Programming, Specific Platforms.</t>
  </si>
  <si>
    <t>11.0299: Computer Programming, Other.</t>
  </si>
  <si>
    <t>11.0301: Data Processing and Data Processing Technology/Technician.</t>
  </si>
  <si>
    <t>11.0401: Information Science/Studies.</t>
  </si>
  <si>
    <t>11.0501: Computer Systems Analysis/Analyst.</t>
  </si>
  <si>
    <t>11.0601: Data Entry/Microcomputer Applications, General.</t>
  </si>
  <si>
    <t>11.0602: Word Processing.</t>
  </si>
  <si>
    <t>11.0699: Data Entry/Microcomputer Applications, Other.</t>
  </si>
  <si>
    <t>11.0701: Computer Science.</t>
  </si>
  <si>
    <t>11.0801: Web Page, Digital/Multimedia and Information Resources Design.</t>
  </si>
  <si>
    <t>11.0802: Data Modeling/Warehousing and Database Administration.</t>
  </si>
  <si>
    <t>11.0803: Computer Graphics.</t>
  </si>
  <si>
    <t>11.0804: Modeling, Virtual Environments and Simulation.</t>
  </si>
  <si>
    <t>11.0899: Computer Software and Media Applications, Other.</t>
  </si>
  <si>
    <t>11.0901: Computer Systems Networking and Telecommunications.</t>
  </si>
  <si>
    <t>11.0902: Cloud Computing.</t>
  </si>
  <si>
    <t>11.0999: Computer Systems Networking and Telecommunications, Other.</t>
  </si>
  <si>
    <t>11.1001: Network and System Administration/Administrator.</t>
  </si>
  <si>
    <t>11.1002: System, Networking, and LAN/WAN Management/Manager.</t>
  </si>
  <si>
    <t>11.1003: Computer and Information Systems Security/Auditing/Information Assurance.</t>
  </si>
  <si>
    <t>11.1004: Web/Multimedia Management and Webmaster.</t>
  </si>
  <si>
    <t>11.1005: Information Technology Project Management.</t>
  </si>
  <si>
    <t>11.1006: Computer Support Specialist.</t>
  </si>
  <si>
    <t>11.1099: Computer/Information Technology Services Administration and Management, Other.</t>
  </si>
  <si>
    <t>11.9999: Computer and Information Sciences and Support Services, Other.</t>
  </si>
  <si>
    <t>12.0301: Funeral Service and Mortuary Science, General.</t>
  </si>
  <si>
    <t>12.0302: Funeral Direction/Service.</t>
  </si>
  <si>
    <t>12.0303: Mortuary Science and Embalming/Embalmer.</t>
  </si>
  <si>
    <t>12.0399: Funeral Service and Mortuary Science, Other.</t>
  </si>
  <si>
    <t>12.0401: Cosmetology/Cosmetologist, General.</t>
  </si>
  <si>
    <t>12.0402: Barbering/Barber.</t>
  </si>
  <si>
    <t>12.0404: Electrolysis/Electrology and Electrolysis Technician.</t>
  </si>
  <si>
    <t>12.0406: Make-Up Artist/Specialist.</t>
  </si>
  <si>
    <t>12.0407: Hair Styling/Stylist and Hair Design.</t>
  </si>
  <si>
    <t>12.0408: Facial Treatment Specialist/Facialist.</t>
  </si>
  <si>
    <t>12.0409: Aesthetician/Esthetician and Skin Care Specialist.</t>
  </si>
  <si>
    <t>12.0410: Nail Technician/Specialist and Manicurist.</t>
  </si>
  <si>
    <t>12.0411: Permanent Cosmetics/Makeup and Tattooing.</t>
  </si>
  <si>
    <t>12.0412: Salon/Beauty Salon Management/Manager.</t>
  </si>
  <si>
    <t>12.0413: Cosmetology, Barber/Styling, and Nail Instructor.</t>
  </si>
  <si>
    <t>12.0414: Master Aesthetician/Esthetician.</t>
  </si>
  <si>
    <t>12.0499: Cosmetology and Related Personal Grooming Arts, Other.</t>
  </si>
  <si>
    <t>12.0500: Cooking and Related Culinary Arts, General.</t>
  </si>
  <si>
    <t>12.0501: Baking and Pastry Arts/Baker/Pastry Chef.</t>
  </si>
  <si>
    <t>12.0502: Bartending/Bartender.</t>
  </si>
  <si>
    <t>12.0503: Culinary Arts/Chef Training.</t>
  </si>
  <si>
    <t>12.0504: Restaurant, Culinary, and Catering Management/Manager.</t>
  </si>
  <si>
    <t>12.0505: Food Preparation/Professional Cooking/Kitchen Assistant.</t>
  </si>
  <si>
    <t>12.0506: Meat Cutting/Meat Cutter.</t>
  </si>
  <si>
    <t>12.0507: Food Service, Waiter/Waitress, and Dining Room Management/Manager.</t>
  </si>
  <si>
    <t>12.0508: Institutional Food Workers.</t>
  </si>
  <si>
    <t>12.0509: Culinary Science/Culinology.</t>
  </si>
  <si>
    <t>12.0510: Wine Steward/Sommelier.</t>
  </si>
  <si>
    <t>12.0580: Reserved.</t>
  </si>
  <si>
    <t>12.0599: Culinary Arts and Related Services, Other.</t>
  </si>
  <si>
    <t>12.0601: Casino Operations and Services, General.</t>
  </si>
  <si>
    <t>12.0602: Casino Dealing.</t>
  </si>
  <si>
    <t>12.0699: Casino Operations and Services, Other.</t>
  </si>
  <si>
    <t>12.9999: Culinary, Entertainment, and Personal Services, Other.</t>
  </si>
  <si>
    <t>13.0101: Education, General.</t>
  </si>
  <si>
    <t>13.0201: Bilingual and Multilingual Education.</t>
  </si>
  <si>
    <t>13.0202: Multicultural Education.</t>
  </si>
  <si>
    <t>13.0203: Indian/Native American Education.</t>
  </si>
  <si>
    <t>13.0299: Bilingual, Multilingual, and Multicultural Education, Other.</t>
  </si>
  <si>
    <t>13.0301: Curriculum and Instruction.</t>
  </si>
  <si>
    <t>13.0401: Educational Leadership and Administration, General.</t>
  </si>
  <si>
    <t>13.0402: Administration of Special Education.</t>
  </si>
  <si>
    <t>13.0403: Adult and Continuing Education Administration.</t>
  </si>
  <si>
    <t>13.0404: Educational, Instructional, and Curriculum Supervision.</t>
  </si>
  <si>
    <t>13.0406: Higher Education/Higher Education Administration.</t>
  </si>
  <si>
    <t>13.0407: Community College Administration.</t>
  </si>
  <si>
    <t>13.0408: Elementary and Middle School Administration/Principalship.</t>
  </si>
  <si>
    <t>13.0409: Secondary School Administration/Principalship.</t>
  </si>
  <si>
    <t>13.0410: Urban Education and Leadership.</t>
  </si>
  <si>
    <t>13.0411: Superintendency and Educational System Administration.</t>
  </si>
  <si>
    <t>13.0412: International School Administration/Leadership.</t>
  </si>
  <si>
    <t>13.0413: Education Entrepreneurship.</t>
  </si>
  <si>
    <t>13.0414: Early Childhood Program Administration.</t>
  </si>
  <si>
    <t>13.0499: Educational Administration and Supervision, Other.</t>
  </si>
  <si>
    <t>13.0501: Educational/Instructional Technology.</t>
  </si>
  <si>
    <t>13.0601: Educational Evaluation and Research.</t>
  </si>
  <si>
    <t>13.0603: Educational Statistics and Research Methods.</t>
  </si>
  <si>
    <t>13.0604: Educational Assessment, Testing, and Measurement.</t>
  </si>
  <si>
    <t>13.0607: Learning Sciences.</t>
  </si>
  <si>
    <t>13.0608: Institutional Research.</t>
  </si>
  <si>
    <t>13.0699: Educational Assessment, Evaluation, and Research, Other.</t>
  </si>
  <si>
    <t>13.0701: International and Comparative Education.</t>
  </si>
  <si>
    <t>13.0901: Social and Philosophical Foundations of Education.</t>
  </si>
  <si>
    <t>13.1001: Special Education and Teaching, General.</t>
  </si>
  <si>
    <t>13.1003: Education/Teaching of Individuals with Hearing Impairments Including Deafness.</t>
  </si>
  <si>
    <t>13.1004: Education/Teaching of the Gifted and Talented.</t>
  </si>
  <si>
    <t>13.1005: Education/Teaching of Individuals with Emotional Disturbances.</t>
  </si>
  <si>
    <t>13.1006: Education/Teaching of Individuals with Intellectual Disabilities.</t>
  </si>
  <si>
    <t>13.1007: Education/Teaching of Individuals with Multiple Disabilities.</t>
  </si>
  <si>
    <t>13.1008: Education/Teaching of Individuals with Orthopedic and Other Physical Health Impairments.</t>
  </si>
  <si>
    <t>13.1009: Education/Teaching of Individuals with Vision Impairments Including Blindness.</t>
  </si>
  <si>
    <t>13.1011: Education/Teaching of Individuals with Specific Learning Disabilities.</t>
  </si>
  <si>
    <t>13.1012: Education/Teaching of Individuals with Speech or Language Impairments.</t>
  </si>
  <si>
    <t>13.1013: Education/Teaching of Individuals with Autism.</t>
  </si>
  <si>
    <t>13.1014: Education/Teaching of Individuals Who are Developmentally Delayed.</t>
  </si>
  <si>
    <t>13.1015: Education/Teaching of Individuals in Early Childhood Special Education Programs.</t>
  </si>
  <si>
    <t>13.1016: Education/Teaching of Individuals with Traumatic Brain Injuries.</t>
  </si>
  <si>
    <t>13.1017: Education/Teaching of Individuals in Elementary Special Education Programs.</t>
  </si>
  <si>
    <t>13.1018: Education/Teaching of Individuals in Junior High/Middle School Special Education Programs.</t>
  </si>
  <si>
    <t>13.1019: Education/Teaching of Individuals in Secondary Special Education Programs.</t>
  </si>
  <si>
    <t>13.1099: Special Education and Teaching, Other.</t>
  </si>
  <si>
    <t>13.1101: Counselor Education/School Counseling and Guidance Services.</t>
  </si>
  <si>
    <t>13.1102: College Student Counseling and Personnel Services.</t>
  </si>
  <si>
    <t>13.1199: Student Counseling and Personnel Services, Other.</t>
  </si>
  <si>
    <t>13.1201: Adult and Continuing Education and Teaching.</t>
  </si>
  <si>
    <t>13.1202: Elementary Education and Teaching.</t>
  </si>
  <si>
    <t>13.1203: Junior High/Intermediate/Middle School Education and Teaching.</t>
  </si>
  <si>
    <t>13.1205: Secondary Education and Teaching.</t>
  </si>
  <si>
    <t>13.1206: Teacher Education, Multiple Levels.</t>
  </si>
  <si>
    <t>13.1207: Montessori Teacher Education.</t>
  </si>
  <si>
    <t>13.1208: Waldorf/Steiner Teacher Education.</t>
  </si>
  <si>
    <t>13.1209: Kindergarten/Preschool Education and Teaching.</t>
  </si>
  <si>
    <t>13.1210: Early Childhood Education and Teaching.</t>
  </si>
  <si>
    <t>13.1211: Online Educator/Online Teaching.</t>
  </si>
  <si>
    <t>13.1212: International Teaching and Learning.</t>
  </si>
  <si>
    <t>13.1213: Science, Technology, Engineering, and Mathematics (STEM) Educational Methods.</t>
  </si>
  <si>
    <t>13.1214: College/Postsecondary/University Teaching.</t>
  </si>
  <si>
    <t>13.1299: Teacher Education and Professional Development, Specific Levels and Methods, Other.</t>
  </si>
  <si>
    <t>13.1301: Agricultural Teacher Education.</t>
  </si>
  <si>
    <t>13.1302: Art Teacher Education.</t>
  </si>
  <si>
    <t>13.1303: Business and Innovation/Entrepreneurship Teacher Education.</t>
  </si>
  <si>
    <t>13.1304: Driver and Safety Teacher Education.</t>
  </si>
  <si>
    <t>13.1305: English/Language Arts Teacher Education.</t>
  </si>
  <si>
    <t>13.1306: Foreign Language Teacher  Education.</t>
  </si>
  <si>
    <t>13.1307: Health Teacher Education.</t>
  </si>
  <si>
    <t>13.1308: Family and Consumer Sciences/Home Economics Teacher Education.</t>
  </si>
  <si>
    <t>13.1309: Technology Teacher Education/Industrial Arts Teacher Education.</t>
  </si>
  <si>
    <t>13.1310: Sales and Marketing Operations/Marketing and Distribution   Teacher Education.</t>
  </si>
  <si>
    <t>13.1311: Mathematics Teacher Education.</t>
  </si>
  <si>
    <t>13.1312: Music Teacher Education.</t>
  </si>
  <si>
    <t>13.1314: Physical Education Teaching and Coaching.</t>
  </si>
  <si>
    <t>13.1315: Reading Teacher Education.</t>
  </si>
  <si>
    <t>13.1316: Science Teacher Education/General Science Teacher Education.</t>
  </si>
  <si>
    <t>13.1317: Social Science Teacher Education.</t>
  </si>
  <si>
    <t>13.1318: Social Studies Teacher Education.</t>
  </si>
  <si>
    <t>13.1319: Technical Teacher Education.</t>
  </si>
  <si>
    <t>13.1320: Trade and Industrial Teacher Education.</t>
  </si>
  <si>
    <t>13.1321: Computer Teacher Education.</t>
  </si>
  <si>
    <t>13.1322: Biology Teacher Education.</t>
  </si>
  <si>
    <t>13.1323: Chemistry Teacher Education.</t>
  </si>
  <si>
    <t>13.1324: Drama and Dance Teacher Education.</t>
  </si>
  <si>
    <t>13.1325: French Language Teacher Education.</t>
  </si>
  <si>
    <t>13.1326: German Language Teacher Education.</t>
  </si>
  <si>
    <t>13.1327: Health Occupations Teacher Education.</t>
  </si>
  <si>
    <t>13.1328: History Teacher Education.</t>
  </si>
  <si>
    <t>13.1329: Physics Teacher Education.</t>
  </si>
  <si>
    <t>13.1330: Spanish Language Teacher Education.</t>
  </si>
  <si>
    <t>13.1331: Speech Teacher Education.</t>
  </si>
  <si>
    <t>13.1332: Geography Teacher Education.</t>
  </si>
  <si>
    <t>13.1333: Latin Teacher Education.</t>
  </si>
  <si>
    <t>13.1334: School Librarian/School Library Media Specialist.</t>
  </si>
  <si>
    <t>13.1335: Psychology Teacher Education.</t>
  </si>
  <si>
    <t>13.1337: Earth Science Teacher Education.</t>
  </si>
  <si>
    <t>13.1338: Environmental Education.</t>
  </si>
  <si>
    <t>13.1339: Communication Arts and Literature Teacher Education.</t>
  </si>
  <si>
    <t>13.1399: Teacher Education and Professional Development, Specific Subject Areas, Other.</t>
  </si>
  <si>
    <t>13.1401: Teaching English as a Second or Foreign Language/ESL Language Instructor.</t>
  </si>
  <si>
    <t>13.1402: Teaching French as a Second or Foreign Language.</t>
  </si>
  <si>
    <t>13.1499: Teaching English or French as a Second or Foreign Language, Other.</t>
  </si>
  <si>
    <t>13.1501: Teacher Assistant/Aide.</t>
  </si>
  <si>
    <t>13.1502: Adult Literacy Tutor/Instructor.</t>
  </si>
  <si>
    <t>13.1599: Teaching Assistants/Aides, Other.</t>
  </si>
  <si>
    <t>13.9999: Education, Other.</t>
  </si>
  <si>
    <t>14.0101: Engineering, General.</t>
  </si>
  <si>
    <t>14.0102: Pre-Engineering.</t>
  </si>
  <si>
    <t>14.0103: Applied Engineering.</t>
  </si>
  <si>
    <t>14.0201: Aerospace, Aeronautical, and Astronautical/Space Engineering, General.</t>
  </si>
  <si>
    <t>14.0202: Astronautical Engineering.</t>
  </si>
  <si>
    <t>14.0299: Aerospace, Aeronautical, and Astronautical/Space Engineering, Other.</t>
  </si>
  <si>
    <t>14.0301: Agricultural Engineering.</t>
  </si>
  <si>
    <t>14.0401: Architectural Engineering.</t>
  </si>
  <si>
    <t>14.0501: Bioengineering and Biomedical Engineering.</t>
  </si>
  <si>
    <t>14.0601: Ceramic Sciences and Engineering.</t>
  </si>
  <si>
    <t>14.0701: Chemical Engineering.</t>
  </si>
  <si>
    <t>14.0702: Chemical and Biomolecular Engineering.</t>
  </si>
  <si>
    <t>14.0799: Chemical Engineering, Other.</t>
  </si>
  <si>
    <t>14.0801: Civil Engineering, General.</t>
  </si>
  <si>
    <t>14.0802: Geotechnical and Geoenvironmental Engineering.</t>
  </si>
  <si>
    <t>14.0803: Structural Engineering.</t>
  </si>
  <si>
    <t>14.0804: Transportation and Highway Engineering.</t>
  </si>
  <si>
    <t>14.0805: Water Resources Engineering.</t>
  </si>
  <si>
    <t>14.0899: Civil Engineering, Other.</t>
  </si>
  <si>
    <t>14.0901: Computer Engineering, General.</t>
  </si>
  <si>
    <t>14.0902: Computer Hardware Engineering.</t>
  </si>
  <si>
    <t>14.0903: Computer Software Engineering.</t>
  </si>
  <si>
    <t>14.0999: Computer Engineering, Other.</t>
  </si>
  <si>
    <t>14.1001: Electrical and Electronics Engineering.</t>
  </si>
  <si>
    <t>14.1003: Laser and Optical Engineering.</t>
  </si>
  <si>
    <t>14.1004: Telecommunications Engineering.</t>
  </si>
  <si>
    <t>14.1099: Electrical, Electronics, and Communications Engineering, Other.</t>
  </si>
  <si>
    <t>14.1101: Engineering Mechanics.</t>
  </si>
  <si>
    <t>14.1201: Engineering Physics/Applied Physics.</t>
  </si>
  <si>
    <t>14.1301: Engineering Science.</t>
  </si>
  <si>
    <t>14.1401: Environmental/Environmental Health Engineering.</t>
  </si>
  <si>
    <t>14.1801: Materials Engineering.</t>
  </si>
  <si>
    <t>14.1901: Mechanical Engineering.</t>
  </si>
  <si>
    <t>14.2001: Metallurgical Engineering.</t>
  </si>
  <si>
    <t>14.2101: Mining and Mineral Engineering.</t>
  </si>
  <si>
    <t>14.2201: Naval Architecture and Marine Engineering.</t>
  </si>
  <si>
    <t>14.2301: Nuclear Engineering.</t>
  </si>
  <si>
    <t>14.2401: Ocean Engineering.</t>
  </si>
  <si>
    <t>14.2501: Petroleum Engineering.</t>
  </si>
  <si>
    <t>14.2701: Systems Engineering.</t>
  </si>
  <si>
    <t>14.2801: Textile Sciences and Engineering.</t>
  </si>
  <si>
    <t>14.3201: Polymer/Plastics Engineering.</t>
  </si>
  <si>
    <t>14.3301: Construction Engineering.</t>
  </si>
  <si>
    <t>14.3401: Forest Engineering.</t>
  </si>
  <si>
    <t>14.3501: Industrial Engineering.</t>
  </si>
  <si>
    <t>14.3601: Manufacturing Engineering.</t>
  </si>
  <si>
    <t>14.3701: Operations Research.</t>
  </si>
  <si>
    <t>14.3801: Surveying Engineering.</t>
  </si>
  <si>
    <t>14.3901: Geological/Geophysical Engineering.</t>
  </si>
  <si>
    <t>14.4001: Paper Science and Engineering.</t>
  </si>
  <si>
    <t>14.4101: Electromechanical Engineering.</t>
  </si>
  <si>
    <t>14.4201: Mechatronics, Robotics, and Automation Engineering.</t>
  </si>
  <si>
    <t>14.4301: Biochemical Engineering.</t>
  </si>
  <si>
    <t>14.4401: Engineering Chemistry.</t>
  </si>
  <si>
    <t>14.4501: Biological/Biosystems Engineering.</t>
  </si>
  <si>
    <t>14.4701: Electrical and Computer Engineering.</t>
  </si>
  <si>
    <t>14.4801: Energy Systems Engineering, General.</t>
  </si>
  <si>
    <t>14.4802: Power Plant Engineering.</t>
  </si>
  <si>
    <t>14.4899: Energy Systems Engineering, Other.</t>
  </si>
  <si>
    <t>14.9999: Engineering, Other.</t>
  </si>
  <si>
    <t>15.0000: Engineering Technologies/Technicians, General.</t>
  </si>
  <si>
    <t>15.0001: Applied Engineering Technologies/Technicians.</t>
  </si>
  <si>
    <t>15.0101: Architectural Engineering Technologies/Technicians.</t>
  </si>
  <si>
    <t>15.0201: Civil Engineering Technologies/Technicians.</t>
  </si>
  <si>
    <t>15.0303: Electrical, Electronic, and Communications Engineering Technology/Technician.</t>
  </si>
  <si>
    <t>15.0304: Laser and Optical Technology/Technician.</t>
  </si>
  <si>
    <t>15.0305: Telecommunications Technology/Technician.</t>
  </si>
  <si>
    <t>15.0306: Integrated Circuit Design Technology/Technician.</t>
  </si>
  <si>
    <t>15.0307: Audio Engineering Technology/Technician.</t>
  </si>
  <si>
    <t>15.0399: Electrical/Electronic Engineering Technologies/Technicians, Other.</t>
  </si>
  <si>
    <t>15.0401: Biomedical Technology/Technician.</t>
  </si>
  <si>
    <t>15.0403: Electromechanical/Electromechanical Engineering Technology/Technician.</t>
  </si>
  <si>
    <t>15.0404: Instrumentation Technology/Technician.</t>
  </si>
  <si>
    <t>15.0405: Robotics Technology/Technician.</t>
  </si>
  <si>
    <t>15.0406: Automation Engineer Technology/Technician.</t>
  </si>
  <si>
    <t>15.0407: Mechatronics, Robotics, and Automation Engineering Technology/Technician.</t>
  </si>
  <si>
    <t>15.0499: Electromechanical Technologies/Technicians, Other.</t>
  </si>
  <si>
    <t>15.0501: Heating, Ventilation, Air Conditioning and Refrigeration Engineering Technology/Technician.</t>
  </si>
  <si>
    <t>15.1701: Energy Systems Technology/Technician.</t>
  </si>
  <si>
    <t>15.1703: Solar Energy Technology/Technician.</t>
  </si>
  <si>
    <t>15.0506: Water Quality and Wastewater Treatment Management and Recycling Technology/Technician.</t>
  </si>
  <si>
    <t>15.0507: Environmental/Environmental Engineering Technology/Technician.</t>
  </si>
  <si>
    <t>15.0508: Hazardous Materials Management and Waste Technology/Technician.</t>
  </si>
  <si>
    <t>15.0599: Environmental Control Technologies/Technicians, Other.</t>
  </si>
  <si>
    <t>15.0607: Plastics and Polymer Engineering Technology/Technician.</t>
  </si>
  <si>
    <t>15.0611: Metallurgical Technology/Technician.</t>
  </si>
  <si>
    <t>15.0612: Industrial Technology/Technician.</t>
  </si>
  <si>
    <t>15.0613: Manufacturing Engineering Technology/Technician.</t>
  </si>
  <si>
    <t>15.0614: Welding Engineering Technology/Technician.</t>
  </si>
  <si>
    <t>15.0615: Chemical Engineering Technology/Technician.</t>
  </si>
  <si>
    <t>15.0616: Semiconductor Manufacturing Technology/Technician.</t>
  </si>
  <si>
    <t>15.0617: Composite Materials Technology/Technician.</t>
  </si>
  <si>
    <t>15.0699: Industrial Production Technologies/Technicians, Other.</t>
  </si>
  <si>
    <t>15.0701: Occupational Safety and Health Technology/Technician.</t>
  </si>
  <si>
    <t>15.0702: Quality Control Technology/Technician.</t>
  </si>
  <si>
    <t>15.0703: Industrial Safety Technology/Technician.</t>
  </si>
  <si>
    <t>15.0704: Hazardous Materials Information Systems Technology/Technician.</t>
  </si>
  <si>
    <t>15.0705: Process Safety Technology/Technician.</t>
  </si>
  <si>
    <t>15.0799: Quality Control and Safety Technologies/Technicians, Other.</t>
  </si>
  <si>
    <t>15.0801: Aeronautical/Aerospace Engineering Technology/Technician.</t>
  </si>
  <si>
    <t>15.0803: Automotive Engineering Technology/Technician.</t>
  </si>
  <si>
    <t>15.0805: Mechanical/Mechanical Engineering Technology/Technician.</t>
  </si>
  <si>
    <t>15.0806: Marine Engineering Technology/Technician.</t>
  </si>
  <si>
    <t>15.0807: Motorsports Engineering Technology/Technician.</t>
  </si>
  <si>
    <t>15.0899: Mechanical Engineering Related Technologies/Technicians, Other.</t>
  </si>
  <si>
    <t>15.0901: Mining Technology/Technician.</t>
  </si>
  <si>
    <t>15.0903: Petroleum Technology/Technician.</t>
  </si>
  <si>
    <t>15.0999: Mining and Petroleum Technologies/Technicians, Other.</t>
  </si>
  <si>
    <t>15.1001: Construction Engineering Technology/Technician.</t>
  </si>
  <si>
    <t>15.1102: Surveying Technology/Surveying.</t>
  </si>
  <si>
    <t>15.1103: Hydraulics and Fluid Power Technology/Technician.</t>
  </si>
  <si>
    <t>15.1199: Engineering-Related Technologies/Technicians, Other.</t>
  </si>
  <si>
    <t>15.1201: Computer Engineering Technology/Technician.</t>
  </si>
  <si>
    <t>15.1202: Computer/Computer Systems Technology/Technician.</t>
  </si>
  <si>
    <t>15.1203: Computer Hardware Technology/Technician.</t>
  </si>
  <si>
    <t>15.1204: Computer Software Technology/Technician.</t>
  </si>
  <si>
    <t>15.1299: Computer Engineering Technologies/Technicians, Other.</t>
  </si>
  <si>
    <t>15.1301: Drafting and Design Technology/Technician, General.</t>
  </si>
  <si>
    <t>15.1302: CAD/CADD Drafting and/or Design Technology/Technician.</t>
  </si>
  <si>
    <t>15.1303: Architectural Drafting and Architectural CAD/CADD.</t>
  </si>
  <si>
    <t>15.1304: Civil Drafting and Civil Engineering CAD/CADD.</t>
  </si>
  <si>
    <t>15.1305: Electrical/Electronics Drafting and Electrical/Electronics CAD/CADD.</t>
  </si>
  <si>
    <t>15.1306: Mechanical Drafting and Mechanical Drafting CAD/CADD.</t>
  </si>
  <si>
    <t>15.1307: 3-D Modeling and Design Technology/Technician.</t>
  </si>
  <si>
    <t>15.1399: Drafting/Design Engineering Technologies/Technicians, Other.</t>
  </si>
  <si>
    <t>15.1401: Nuclear Engineering Technology/Technician.</t>
  </si>
  <si>
    <t>15.1501: Engineering/Industrial Management.</t>
  </si>
  <si>
    <t>15.1502: Engineering Design.</t>
  </si>
  <si>
    <t>15.1503: Packaging Science.</t>
  </si>
  <si>
    <t>15.1599: Engineering-Related Fields, Other.</t>
  </si>
  <si>
    <t>15.1601: Nanotechnology.</t>
  </si>
  <si>
    <t>15.1702: Power Plant Technology/Technician.</t>
  </si>
  <si>
    <t>15.1704: Wind Energy Technology/Technician.</t>
  </si>
  <si>
    <t>15.1705: Hydroelectric Energy Technology/Technician.</t>
  </si>
  <si>
    <t>15.1706: Geothermal Energy Technology/Technician.</t>
  </si>
  <si>
    <t>15.1799: Energy Systems Technologies/Technicians, Other.</t>
  </si>
  <si>
    <t>15.9999: Engineering/Engineering-Related Technologies/Technicians, Other.</t>
  </si>
  <si>
    <t>16.0101: Foreign Languages and Literatures, General.</t>
  </si>
  <si>
    <t>16.0102: Linguistics.</t>
  </si>
  <si>
    <t>16.0103: Language Interpretation and Translation.</t>
  </si>
  <si>
    <t>16.0104: Comparative Literature.</t>
  </si>
  <si>
    <t>16.0105: Applied Linguistics.</t>
  </si>
  <si>
    <t>16.0199: Linguistic, Comparative, and Related Language Studies and Services, Other.</t>
  </si>
  <si>
    <t>16.0201: African Languages, Literatures, and Linguistics.</t>
  </si>
  <si>
    <t>16.0300: East Asian Languages, Literatures, and Linguistics, General.</t>
  </si>
  <si>
    <t>16.0301: Chinese Language and Literature.</t>
  </si>
  <si>
    <t>16.0302: Japanese Language and Literature.</t>
  </si>
  <si>
    <t>16.0303: Korean Language and Literature.</t>
  </si>
  <si>
    <t>16.0304: Tibetan Language and Literature.</t>
  </si>
  <si>
    <t>16.0399: East Asian Languages, Literatures, and Linguistics, Other.</t>
  </si>
  <si>
    <t>16.0400: Slavic Languages, Literatures, and Linguistics, General.</t>
  </si>
  <si>
    <t>16.0401: Baltic Languages, Literatures, and Linguistics.</t>
  </si>
  <si>
    <t>16.0402: Russian Language and Literature.</t>
  </si>
  <si>
    <t>16.0404: Albanian Language and Literature.</t>
  </si>
  <si>
    <t>16.0405: Bulgarian Language and Literature.</t>
  </si>
  <si>
    <t>16.0406: Czech Language and Literature.</t>
  </si>
  <si>
    <t>16.0407: Polish Language and Literature.</t>
  </si>
  <si>
    <t>16.0408: Bosnian, Serbian, and Croatian Languages and Literatures.</t>
  </si>
  <si>
    <t>16.0409: Slovak Language and Literature.</t>
  </si>
  <si>
    <t>16.0410: Ukrainian Language and Literature.</t>
  </si>
  <si>
    <t>16.0499: Slavic, Baltic, and Albanian Languages, Literatures, and Linguistics, Other.</t>
  </si>
  <si>
    <t>16.0500: Germanic Languages, Literatures, and Linguistics, General.</t>
  </si>
  <si>
    <t>16.0501: German Language and Literature.</t>
  </si>
  <si>
    <t>16.0502: Scandinavian Languages, Literatures, and Linguistics.</t>
  </si>
  <si>
    <t>16.0503: Danish Language and Literature.</t>
  </si>
  <si>
    <t>16.0504: Dutch/Flemish Language and Literature.</t>
  </si>
  <si>
    <t>16.0505: Norwegian Language and Literature.</t>
  </si>
  <si>
    <t>16.0506: Swedish Language and Literature.</t>
  </si>
  <si>
    <t>16.0599: Germanic Languages, Literatures, and Linguistics, Other.</t>
  </si>
  <si>
    <t>16.0601: Modern Greek Language and Literature.</t>
  </si>
  <si>
    <t>16.0700: South Asian Languages, Literatures, and Linguistics, General.</t>
  </si>
  <si>
    <t>16.0701: Hindi Language and Literature.</t>
  </si>
  <si>
    <t>16.0702: Sanskrit and Classical Indian Languages, Literatures, and Linguistics.</t>
  </si>
  <si>
    <t>16.0704: Bengali Language and Literature.</t>
  </si>
  <si>
    <t>16.0705: Punjabi Language and Literature.</t>
  </si>
  <si>
    <t>16.0706: Tamil Language and Literature.</t>
  </si>
  <si>
    <t>16.0707: Urdu Language and Literature.</t>
  </si>
  <si>
    <t>16.0799: South Asian Languages, Literatures, and Linguistics, Other.</t>
  </si>
  <si>
    <t>16.0801: Iranian Languages, Literatures, and Linguistics.</t>
  </si>
  <si>
    <t>16.0900: Romance Languages, Literatures, and Linguistics, General.</t>
  </si>
  <si>
    <t>16.0901: French Language and Literature.</t>
  </si>
  <si>
    <t>16.0902: Italian Language and Literature.</t>
  </si>
  <si>
    <t>16.0904: Portuguese Language and Literature.</t>
  </si>
  <si>
    <t>16.0905: Spanish Language and Literature.</t>
  </si>
  <si>
    <t>16.0906: Romanian Language and Literature.</t>
  </si>
  <si>
    <t>16.0907: Catalan Language and Literature.</t>
  </si>
  <si>
    <t>16.0908: Hispanic and Latin American Languages, Literatures, and Linguistics, General.</t>
  </si>
  <si>
    <t>16.0999: Romance Languages, Literatures, and Linguistics, Other.</t>
  </si>
  <si>
    <t>16.1001: American Indian/Native American Languages, Literatures, and Linguistics.</t>
  </si>
  <si>
    <t>16.1100: Middle/Near Eastern and Semitic Languages, Literatures, and Linguistics, General.</t>
  </si>
  <si>
    <t>16.1101: Arabic Language and Literature.</t>
  </si>
  <si>
    <t>16.1102: Hebrew Language and Literature.</t>
  </si>
  <si>
    <t>16.1103: Ancient Near Eastern and Biblical Languages, Literatures, and Linguistics.</t>
  </si>
  <si>
    <t>16.1199: Middle/Near Eastern and Semitic Languages, Literatures, and Linguistics, Other.</t>
  </si>
  <si>
    <t>16.1200: Classics and Classical Languages, Literatures, and Linguistics, General.</t>
  </si>
  <si>
    <t>16.1202: Ancient/Classical Greek Language and Literature.</t>
  </si>
  <si>
    <t>16.1203: Latin Language and Literature.</t>
  </si>
  <si>
    <t>16.1299: Classics and Classical Languages, Literatures, and Linguistics, Other.</t>
  </si>
  <si>
    <t>16.1301: Celtic Languages, Literatures, and Linguistics.</t>
  </si>
  <si>
    <t>16.1400: Southeast Asian Languages, Literatures, and Linguistics, General.</t>
  </si>
  <si>
    <t>16.1401: Australian/Oceanic/Pacific Languages, Literatures, and Linguistics.</t>
  </si>
  <si>
    <t>16.1402: Indonesian/Malay Languages and Literatures.</t>
  </si>
  <si>
    <t>16.1403: Burmese Language and Literature.</t>
  </si>
  <si>
    <t>16.1404: Filipino/Tagalog Language and Literature.</t>
  </si>
  <si>
    <t>16.1405: Khmer/Cambodian Language and Literature.</t>
  </si>
  <si>
    <t>16.1406: Lao Language and Literature.</t>
  </si>
  <si>
    <t>16.1407: Thai Language and Literature.</t>
  </si>
  <si>
    <t>16.1408: Vietnamese Language and Literature.</t>
  </si>
  <si>
    <t>16.1409: Hawaiian Language and Literature.</t>
  </si>
  <si>
    <t>16.1499: Southeast Asian and Australasian/Pacific Languages, Literatures, and Linguistics, Other.</t>
  </si>
  <si>
    <t>16.1501: Turkish Language and Literature.</t>
  </si>
  <si>
    <t>16.1502: Uralic Languages, Literatures, and Linguistics.</t>
  </si>
  <si>
    <t>16.1503: Hungarian/Magyar Language and Literature.</t>
  </si>
  <si>
    <t>16.1504: Mongolian Language and Literature.</t>
  </si>
  <si>
    <t>16.1599: Turkic, Uralic-Altaic, Caucasian, and Central Asian Languages, Literatures, and Linguistics, Other.</t>
  </si>
  <si>
    <t>16.1601: American Sign Language (ASL).</t>
  </si>
  <si>
    <t>16.1602: Linguistics of ASL and Other Sign Languages.</t>
  </si>
  <si>
    <t>16.1603: Sign Language Interpretation and Translation.</t>
  </si>
  <si>
    <t>16.1699: American Sign Language, Other.</t>
  </si>
  <si>
    <t>16.1701: English as a Second Language.</t>
  </si>
  <si>
    <t>16.1702: Reserved.</t>
  </si>
  <si>
    <t>16.1799: Reserved.</t>
  </si>
  <si>
    <t>16.1801: Armenian Language and Literature.</t>
  </si>
  <si>
    <t>16.9999: Foreign Languages, Literatures, and Linguistics, Other.</t>
  </si>
  <si>
    <t>19.1001: Work and Family Studies.</t>
  </si>
  <si>
    <t>19.0101: Family and Consumer Sciences/Human Sciences, General.</t>
  </si>
  <si>
    <t>19.0201: Business Family and Consumer Sciences/Human Sciences.</t>
  </si>
  <si>
    <t>19.0202: Family and Consumer Sciences/Human Sciences Communication.</t>
  </si>
  <si>
    <t>19.0203: Consumer Merchandising/Retailing Management.</t>
  </si>
  <si>
    <t>19.0299: Family and Consumer Sciences/Human Sciences Business Services, Other.</t>
  </si>
  <si>
    <t>19.0401: Family Resource Management Studies, General.</t>
  </si>
  <si>
    <t>19.0402: Consumer Economics.</t>
  </si>
  <si>
    <t>19.0403: Consumer Services and Advocacy.</t>
  </si>
  <si>
    <t>19.0499: Family and Consumer Economics and Related Services, Other.</t>
  </si>
  <si>
    <t>19.0501: Foods, Nutrition, and Wellness Studies, General.</t>
  </si>
  <si>
    <t>19.0504: Human Nutrition.</t>
  </si>
  <si>
    <t>19.0505: Foodservice Systems Administration/Management.</t>
  </si>
  <si>
    <t>19.0599: Foods, Nutrition, and Related Services, Other.</t>
  </si>
  <si>
    <t>19.0601: Housing and Human Environments, General.</t>
  </si>
  <si>
    <t>19.0604: Facilities Planning and Management.</t>
  </si>
  <si>
    <t>19.0605: Home Furnishings and Equipment Installers.</t>
  </si>
  <si>
    <t>19.0699: Housing and Human Environments, Other.</t>
  </si>
  <si>
    <t>19.0701: Human Development and Family Studies, General.</t>
  </si>
  <si>
    <t>19.0702: Adult Development and Aging.</t>
  </si>
  <si>
    <t>19.0704: Family Systems.</t>
  </si>
  <si>
    <t>19.0706: Child Development.</t>
  </si>
  <si>
    <t>19.0707: Family and Community Services.</t>
  </si>
  <si>
    <t>19.0708: Child Care and Support Services Management.</t>
  </si>
  <si>
    <t>19.0709: Child Care Provider/Assistant.</t>
  </si>
  <si>
    <t>19.0710: Developmental Services Worker.</t>
  </si>
  <si>
    <t>19.0711: Early Childhood and Family Studies.</t>
  </si>
  <si>
    <t>19.0712: Parent Education Services.</t>
  </si>
  <si>
    <t>19.0799: Human Development, Family Studies, and Related Services, Other.</t>
  </si>
  <si>
    <t>19.0901: Apparel and Textiles, General.</t>
  </si>
  <si>
    <t>19.0902: Apparel and Textile Manufacture.</t>
  </si>
  <si>
    <t>19.0904: Textile Science.</t>
  </si>
  <si>
    <t>19.0905: Apparel and Textile Marketing Management.</t>
  </si>
  <si>
    <t>19.0906: Fashion and Fabric Consultant.</t>
  </si>
  <si>
    <t>19.0999: Apparel and Textiles, Other.</t>
  </si>
  <si>
    <t>19.9999: Family and Consumer Sciences/Human Sciences, Other.</t>
  </si>
  <si>
    <t>21.0101: Reserved.</t>
  </si>
  <si>
    <t>22.0000: Legal Studies.</t>
  </si>
  <si>
    <t>22.0001: Pre-Law Studies.</t>
  </si>
  <si>
    <t>22.0099: Non-Professional Legal Studies, Other.</t>
  </si>
  <si>
    <t>22.0101: Law.</t>
  </si>
  <si>
    <t>22.0201: Advanced Legal Research/Studies, General.</t>
  </si>
  <si>
    <t>22.0202: Programs for Foreign Lawyers.</t>
  </si>
  <si>
    <t>22.0203: American/U.S. Law/Legal Studies/Jurisprudence.</t>
  </si>
  <si>
    <t>22.0204: Canadian Law/Legal Studies/Jurisprudence.</t>
  </si>
  <si>
    <t>22.0205: Banking, Corporate, Finance, and Securities Law.</t>
  </si>
  <si>
    <t>22.0206: Comparative Law.</t>
  </si>
  <si>
    <t>22.0207: Energy, Environment, and Natural Resources Law.</t>
  </si>
  <si>
    <t>22.0208: Health Law.</t>
  </si>
  <si>
    <t>22.0209: International Law and Legal Studies.</t>
  </si>
  <si>
    <t>22.0210: International Business, Trade, and Tax Law.</t>
  </si>
  <si>
    <t>22.0211: Tax Law/Taxation.</t>
  </si>
  <si>
    <t>22.0212: Intellectual Property Law.</t>
  </si>
  <si>
    <t>22.0213: Patent Law.</t>
  </si>
  <si>
    <t>22.0214: Agriculture Law.</t>
  </si>
  <si>
    <t>22.0215: Arts and Entertainment Law.</t>
  </si>
  <si>
    <t>22.0216: Compliance Law.</t>
  </si>
  <si>
    <t>22.0217: Criminal Law and Procedure.</t>
  </si>
  <si>
    <t>22.0218: Entrepreneurship Law.</t>
  </si>
  <si>
    <t>22.0219: Family/Child/Elder Law.</t>
  </si>
  <si>
    <t>22.0220: Human Resources Law.</t>
  </si>
  <si>
    <t>22.0221: Insurance Law.</t>
  </si>
  <si>
    <t>22.0222: Real Estate and Land Development Law.</t>
  </si>
  <si>
    <t>22.0223: Transportation Law.</t>
  </si>
  <si>
    <t>22.0224: Tribal/Indigenous Law.</t>
  </si>
  <si>
    <t>22.0299: Legal Research and Advanced Professional Studies, Other.</t>
  </si>
  <si>
    <t>22.0301: Legal Administrative Assistant/Secretary.</t>
  </si>
  <si>
    <t>22.0302: Legal Assistant/Paralegal.</t>
  </si>
  <si>
    <t>22.0303: Court Reporting and Captioning/Court Reporter.</t>
  </si>
  <si>
    <t>22.0304: Court Interpreter.</t>
  </si>
  <si>
    <t>22.0305: Scopist.</t>
  </si>
  <si>
    <t>22.0399: Legal Support Services, Other.</t>
  </si>
  <si>
    <t>22.9999: Legal Professions and Studies, Other.</t>
  </si>
  <si>
    <t>23.0101: English Language and Literature, General.</t>
  </si>
  <si>
    <t>23.1301: Writing, General.</t>
  </si>
  <si>
    <t>23.1302: Creative Writing.</t>
  </si>
  <si>
    <t>23.1303: Professional, Technical, Business, and Scientific Writing.</t>
  </si>
  <si>
    <t>23.1304: Rhetoric and Composition.</t>
  </si>
  <si>
    <t>23.1399: Rhetoric and Composition/Writing Studies, Other.</t>
  </si>
  <si>
    <t>23.1401: General Literature.</t>
  </si>
  <si>
    <t>23.1402: American Literature (United States).</t>
  </si>
  <si>
    <t>23.1403: American Literature (Canadian).</t>
  </si>
  <si>
    <t>23.1404: English Literature (British and Commonwealth).</t>
  </si>
  <si>
    <t>23.1405: Children&amp;#39;s and Adolescent Literature.</t>
  </si>
  <si>
    <t>23.1499: Literature, Other.</t>
  </si>
  <si>
    <t>23.9999: English Language and Literature/Letters, Other.</t>
  </si>
  <si>
    <t>24.0101: Liberal Arts and Sciences/Liberal Studies.</t>
  </si>
  <si>
    <t>24.0102: General Studies.</t>
  </si>
  <si>
    <t>24.0103: Humanities/Humanistic Studies.</t>
  </si>
  <si>
    <t>24.0199: Liberal Arts and Sciences, General Studies and Humanities, Other.</t>
  </si>
  <si>
    <t>25.0101: Library and Information Science.</t>
  </si>
  <si>
    <t>25.0102: Children and Youth Library Services.</t>
  </si>
  <si>
    <t>25.0103: Archives/Archival Administration.</t>
  </si>
  <si>
    <t>25.0199: Library Science and Administration, Other.</t>
  </si>
  <si>
    <t>25.0301: Library and Archives Assisting.</t>
  </si>
  <si>
    <t>25.9999: Library Science, Other.</t>
  </si>
  <si>
    <t>26.0101: Biology/Biological Sciences, General.</t>
  </si>
  <si>
    <t>26.0102: Biomedical Sciences, General.</t>
  </si>
  <si>
    <t>26.0202: Biochemistry.</t>
  </si>
  <si>
    <t>26.0203: Biophysics.</t>
  </si>
  <si>
    <t>26.0204: Molecular Biology.</t>
  </si>
  <si>
    <t>26.0205: Molecular Biochemistry.</t>
  </si>
  <si>
    <t>26.0206: Molecular Biophysics.</t>
  </si>
  <si>
    <t>26.0207: Structural Biology.</t>
  </si>
  <si>
    <t>26.0208: Photobiology.</t>
  </si>
  <si>
    <t>26.0209: Radiation Biology/Radiobiology.</t>
  </si>
  <si>
    <t>26.0210: Biochemistry and Molecular Biology.</t>
  </si>
  <si>
    <t>26.0299: Biochemistry, Biophysics and Molecular Biology, Other.</t>
  </si>
  <si>
    <t>26.0301: Botany/Plant Biology.</t>
  </si>
  <si>
    <t>26.0305: Plant Pathology/Phytopathology.</t>
  </si>
  <si>
    <t>26.0307: Plant Physiology.</t>
  </si>
  <si>
    <t>26.0308: Plant Molecular Biology.</t>
  </si>
  <si>
    <t>26.0399: Botany/Plant Biology, Other.</t>
  </si>
  <si>
    <t>26.0401: Cell/Cellular Biology and Histology.</t>
  </si>
  <si>
    <t>26.0403: Anatomy.</t>
  </si>
  <si>
    <t>26.0404: Developmental Biology and Embryology.</t>
  </si>
  <si>
    <t>26.0406: Cell/Cellular and Molecular Biology.</t>
  </si>
  <si>
    <t>26.0407: Cell Biology and Anatomy.</t>
  </si>
  <si>
    <t>26.0499: Cell/Cellular Biology and Anatomical Sciences, Other.</t>
  </si>
  <si>
    <t>26.0502: Microbiology, General.</t>
  </si>
  <si>
    <t>26.0503: Medical Microbiology and Bacteriology.</t>
  </si>
  <si>
    <t>26.0504: Virology.</t>
  </si>
  <si>
    <t>26.0505: Parasitology.</t>
  </si>
  <si>
    <t>26.0506: Mycology.</t>
  </si>
  <si>
    <t>26.0507: Immunology.</t>
  </si>
  <si>
    <t>26.0508: Microbiology and Immunology.</t>
  </si>
  <si>
    <t>26.0509: Infectious Disease and Global Health.</t>
  </si>
  <si>
    <t>26.0599: Microbiological Sciences and Immunology, Other.</t>
  </si>
  <si>
    <t>26.0701: Zoology/Animal Biology.</t>
  </si>
  <si>
    <t>26.0702: Entomology.</t>
  </si>
  <si>
    <t>26.0707: Animal Physiology.</t>
  </si>
  <si>
    <t>26.0708: Animal Behavior and Ethology.</t>
  </si>
  <si>
    <t>26.0709: Wildlife Biology.</t>
  </si>
  <si>
    <t>26.0799: Zoology/Animal Biology, Other.</t>
  </si>
  <si>
    <t>26.0801: Genetics, General.</t>
  </si>
  <si>
    <t>26.0802: Molecular Genetics.</t>
  </si>
  <si>
    <t>26.0803: Microbial and Eukaryotic Genetics.</t>
  </si>
  <si>
    <t>26.0804: Animal Genetics.</t>
  </si>
  <si>
    <t>26.0805: Plant Genetics.</t>
  </si>
  <si>
    <t>26.0806: Human/Medical Genetics.</t>
  </si>
  <si>
    <t>26.0807: Genome Sciences/Genomics.</t>
  </si>
  <si>
    <t>26.0899: Genetics, Other.</t>
  </si>
  <si>
    <t>26.0901: Physiology, General.</t>
  </si>
  <si>
    <t>26.0902: Molecular Physiology.</t>
  </si>
  <si>
    <t>26.0903: Cell Physiology.</t>
  </si>
  <si>
    <t>26.0904: Endocrinology.</t>
  </si>
  <si>
    <t>26.0905: Reproductive Biology.</t>
  </si>
  <si>
    <t>26.0907: Cardiovascular Science.</t>
  </si>
  <si>
    <t>26.0908: Exercise Physiology and Kinesiology.</t>
  </si>
  <si>
    <t>26.0909: Vision Science/Physiological Optics.</t>
  </si>
  <si>
    <t>26.0910: Pathology/Experimental Pathology.</t>
  </si>
  <si>
    <t>26.0911: Oncology and Cancer Biology.</t>
  </si>
  <si>
    <t>26.0912: Aerospace Physiology and Medicine.</t>
  </si>
  <si>
    <t>26.0913: Biomechanics.</t>
  </si>
  <si>
    <t>26.0999: Physiology, Pathology, and Related Sciences, Other.</t>
  </si>
  <si>
    <t>26.1001: Pharmacology.</t>
  </si>
  <si>
    <t>26.1002: Molecular Pharmacology.</t>
  </si>
  <si>
    <t>26.1003: Neuropharmacology.</t>
  </si>
  <si>
    <t>26.1004: Toxicology.</t>
  </si>
  <si>
    <t>26.1005: Molecular Toxicology.</t>
  </si>
  <si>
    <t>26.1006: Environmental Toxicology.</t>
  </si>
  <si>
    <t>26.1007: Pharmacology and Toxicology.</t>
  </si>
  <si>
    <t>26.1099: Pharmacology and Toxicology, Other.</t>
  </si>
  <si>
    <t>26.1101: Biometry/Biometrics.</t>
  </si>
  <si>
    <t>26.1102: Biostatistics.</t>
  </si>
  <si>
    <t>26.1103: Bioinformatics.</t>
  </si>
  <si>
    <t>26.1104: Computational Biology.</t>
  </si>
  <si>
    <t>26.1199: Biomathematics, Bioinformatics, and Computational Biology, Other.</t>
  </si>
  <si>
    <t>26.1201: Biotechnology.</t>
  </si>
  <si>
    <t>26.1301: Ecology.</t>
  </si>
  <si>
    <t>26.1302: Marine Biology and Biological Oceanography.</t>
  </si>
  <si>
    <t>26.1303: Evolutionary Biology.</t>
  </si>
  <si>
    <t>26.1304: Aquatic Biology/Limnology.</t>
  </si>
  <si>
    <t>26.1305: Environmental Biology.</t>
  </si>
  <si>
    <t>26.1306: Population Biology.</t>
  </si>
  <si>
    <t>26.1307: Conservation Biology.</t>
  </si>
  <si>
    <t>26.1308: Systematic Biology/Biological Systematics.</t>
  </si>
  <si>
    <t>26.1309: Epidemiology.</t>
  </si>
  <si>
    <t>26.1310: Ecology and Evolutionary Biology.</t>
  </si>
  <si>
    <t>26.1311: Epidemiology and Biostatistics.</t>
  </si>
  <si>
    <t>26.1399: Ecology, Evolution, Systematics and Population Biology, Other.</t>
  </si>
  <si>
    <t>26.1401: Molecular Medicine.</t>
  </si>
  <si>
    <t>26.1501: Neuroscience.</t>
  </si>
  <si>
    <t>26.1502: Neuroanatomy.</t>
  </si>
  <si>
    <t>26.1503: Neurobiology and Anatomy.</t>
  </si>
  <si>
    <t>26.1504: Neurobiology and Behavior.</t>
  </si>
  <si>
    <t>26.1599: Neurobiology and Neurosciences, Other.</t>
  </si>
  <si>
    <t>26.9999: Biological and Biomedical Sciences, Other.</t>
  </si>
  <si>
    <t>27.0101: Mathematics, General.</t>
  </si>
  <si>
    <t>27.0102: Algebra and Number Theory.</t>
  </si>
  <si>
    <t>27.0103: Analysis and Functional Analysis.</t>
  </si>
  <si>
    <t>27.0104: Geometry/Geometric Analysis.</t>
  </si>
  <si>
    <t>27.0105: Topology and Foundations.</t>
  </si>
  <si>
    <t>27.0199: Mathematics, Other.</t>
  </si>
  <si>
    <t>27.0301: Applied Mathematics, General.</t>
  </si>
  <si>
    <t>27.0303: Computational Mathematics.</t>
  </si>
  <si>
    <t>27.0304: Computational and Applied Mathematics.</t>
  </si>
  <si>
    <t>27.0305: Financial Mathematics.</t>
  </si>
  <si>
    <t>27.0306: Mathematical Biology.</t>
  </si>
  <si>
    <t>27.0399: Applied Mathematics, Other.</t>
  </si>
  <si>
    <t>27.0501: Statistics, General.</t>
  </si>
  <si>
    <t>27.0502: Mathematical Statistics and Probability.</t>
  </si>
  <si>
    <t>27.0503: Mathematics and Statistics.</t>
  </si>
  <si>
    <t>27.0599: Statistics, Other.</t>
  </si>
  <si>
    <t>27.0601: Applied Statistics, General.</t>
  </si>
  <si>
    <t>27.9999: Mathematics and Statistics, Other.</t>
  </si>
  <si>
    <t>28.0101: Air Force JROTC/ROTC.</t>
  </si>
  <si>
    <t>28.0199: Air Force ROTC, Air Science and Operations, Other.</t>
  </si>
  <si>
    <t>28.0301: Army JROTC/ROTC.</t>
  </si>
  <si>
    <t>28.0399: Army ROTC, Military Science and Operations, Other.</t>
  </si>
  <si>
    <t>28.0401: Navy/Marine Corps JROTC/ROTC.</t>
  </si>
  <si>
    <t>28.0499: Navy/Marine Corps ROTC, Naval Science and Operations, Other.</t>
  </si>
  <si>
    <t>28.0501: Air Science/Airpower Studies.</t>
  </si>
  <si>
    <t>28.0502: Air and Space Operational Art and Science.</t>
  </si>
  <si>
    <t>28.0503: Military Operational Art and Science/Studies.</t>
  </si>
  <si>
    <t>28.0504: Advanced Military and Operational Studies.</t>
  </si>
  <si>
    <t>28.0505: Naval Science and Operational Studies.</t>
  </si>
  <si>
    <t>28.0506: Special, Irregular and Counterterrorist Operations.</t>
  </si>
  <si>
    <t>28.0599: Military Science and Operational Studies, Other.</t>
  </si>
  <si>
    <t>28.0601: Strategic Studies, General.</t>
  </si>
  <si>
    <t>28.0602: Military and Strategic Leadership.</t>
  </si>
  <si>
    <t>28.0603: Military and International Operational Law.</t>
  </si>
  <si>
    <t>28.0604: Joint Operations Planning and Strategy.</t>
  </si>
  <si>
    <t>28.0605: Weapons of Mass Destruction.</t>
  </si>
  <si>
    <t>28.0699: National Security Policy and Strategy, Other.</t>
  </si>
  <si>
    <t>28.0701: National Resource Strategy and Policy.</t>
  </si>
  <si>
    <t>28.0702: Industry Studies.</t>
  </si>
  <si>
    <t>28.0703: Military Installation Management.</t>
  </si>
  <si>
    <t>28.0799: Military Economics and Management, Other.</t>
  </si>
  <si>
    <t>28.0801: Reserved.</t>
  </si>
  <si>
    <t>28.9999: Military Science, Leadership and Operational Art, Other.</t>
  </si>
  <si>
    <t>29.0201: Intelligence, General.</t>
  </si>
  <si>
    <t>29.0202: Strategic Intelligence.</t>
  </si>
  <si>
    <t>29.0203: Signal/Geospatial Intelligence.</t>
  </si>
  <si>
    <t>29.0204: Command &amp;amp; Control (C3, C4I) Systems and Operations.</t>
  </si>
  <si>
    <t>29.0205: Information Operations/Joint Information Operations.</t>
  </si>
  <si>
    <t>29.0206: Information/Psychological Warfare and Military Media Relations.</t>
  </si>
  <si>
    <t>29.0207: Cyber/Electronic Operations and Warfare.</t>
  </si>
  <si>
    <t>29.0299: Intelligence, Command Control and Information Operations, Other.</t>
  </si>
  <si>
    <t>29.0301: Combat Systems Engineering.</t>
  </si>
  <si>
    <t>29.0302: Directed Energy Systems.</t>
  </si>
  <si>
    <t>29.0303: Engineering Acoustics.</t>
  </si>
  <si>
    <t>29.0304: Low-Observables and Stealth Technology.</t>
  </si>
  <si>
    <t>29.0305: Space Systems Operations.</t>
  </si>
  <si>
    <t>29.0306: Operational Oceanography.</t>
  </si>
  <si>
    <t>29.0307: Undersea Warfare.</t>
  </si>
  <si>
    <t>29.0399: Military Applied Sciences, Other.</t>
  </si>
  <si>
    <t>29.0401: Aerospace Ground Equipment Technology.</t>
  </si>
  <si>
    <t>29.0402: Air and Space Operations Technology.</t>
  </si>
  <si>
    <t>29.0403: Aircraft Armament Systems Technology.</t>
  </si>
  <si>
    <t>29.0404: Explosive Ordinance/Bomb Disposal.</t>
  </si>
  <si>
    <t>29.0405: Joint Command/Task Force (C3, C4I) Systems.</t>
  </si>
  <si>
    <t>29.0406: Military Information Systems Technology.</t>
  </si>
  <si>
    <t>29.0407: Missile and Space Systems Technology.</t>
  </si>
  <si>
    <t>29.0408: Munitions Systems/Ordinance Technology.</t>
  </si>
  <si>
    <t>29.0409: Radar Communications and Systems Technology.</t>
  </si>
  <si>
    <t>29.0499: Military Systems and Maintenance Technology, Other.</t>
  </si>
  <si>
    <t>29.0501: Reserved.</t>
  </si>
  <si>
    <t>29.0601: Military Technology and Applied Sciences Management.</t>
  </si>
  <si>
    <t>29.9999: Military Technologies and Applied Sciences, Other.</t>
  </si>
  <si>
    <t>30.0000: Multi-/Interdisciplinary Studies, General.</t>
  </si>
  <si>
    <t>30.0001: Comprehensive Transition and Postsecondary (CTP) Program.</t>
  </si>
  <si>
    <t>30.0101: Biological and Physical Sciences.</t>
  </si>
  <si>
    <t>30.0501: Peace Studies and Conflict Resolution.</t>
  </si>
  <si>
    <t>30.0601: Systems Science and Theory.</t>
  </si>
  <si>
    <t>30.0801: Mathematics and Computer Science.</t>
  </si>
  <si>
    <t>30.1001: Biopsychology.</t>
  </si>
  <si>
    <t>30.1101: Gerontology.</t>
  </si>
  <si>
    <t>30.1201: Historic Preservation and Conservation, General.</t>
  </si>
  <si>
    <t>30.1202: Cultural Resource Management and Policy Analysis.</t>
  </si>
  <si>
    <t>30.1299: Historic Preservation and Conservation, Other.</t>
  </si>
  <si>
    <t>30.1301: Medieval and Renaissance Studies.</t>
  </si>
  <si>
    <t>30.1401: Museology/Museum Studies.</t>
  </si>
  <si>
    <t>30.1501: Science, Technology and Society.</t>
  </si>
  <si>
    <t>30.1601: Accounting and Computer Science.</t>
  </si>
  <si>
    <t>30.1701: Behavioral Sciences.</t>
  </si>
  <si>
    <t>30.1801: Natural Sciences.</t>
  </si>
  <si>
    <t>30.1901: Nutrition Sciences.</t>
  </si>
  <si>
    <t>30.2001: International/Globalization Studies.</t>
  </si>
  <si>
    <t>30.2101: Holocaust and Related Studies.</t>
  </si>
  <si>
    <t>30.2201: Ancient Studies/Civilization.</t>
  </si>
  <si>
    <t>30.2202: Classical, Ancient Mediterranean, and Near Eastern Studies and Archaeology.</t>
  </si>
  <si>
    <t>30.2299: Classical and Ancient Studies, Other.</t>
  </si>
  <si>
    <t>30.2301: Intercultural/Multicultural and Diversity Studies.</t>
  </si>
  <si>
    <t>30.2501: Cognitive Science, General.</t>
  </si>
  <si>
    <t>30.2502: Contemplative Studies/Inquiry.</t>
  </si>
  <si>
    <t>30.2599: Cognitive Science, Other.</t>
  </si>
  <si>
    <t>30.2601: Cultural Studies/Critical Theory and Analysis.</t>
  </si>
  <si>
    <t>30.2701: Human Biology.</t>
  </si>
  <si>
    <t>30.2801: Dispute Resolution.</t>
  </si>
  <si>
    <t>30.2901: Maritime Studies.</t>
  </si>
  <si>
    <t>30.3001: Computational Science.</t>
  </si>
  <si>
    <t>30.3101: Human Computer Interaction.</t>
  </si>
  <si>
    <t>30.3201: Marine Sciences.</t>
  </si>
  <si>
    <t>30.3301: Sustainability Studies.</t>
  </si>
  <si>
    <t>30.3401: Anthrozoology.</t>
  </si>
  <si>
    <t>30.3501: Climate Science.</t>
  </si>
  <si>
    <t>30.3601: Cultural Studies and Comparative Literature.</t>
  </si>
  <si>
    <t>30.3701: Design for Human Health.</t>
  </si>
  <si>
    <t>30.3801: Earth Systems Science.</t>
  </si>
  <si>
    <t>30.3901: Economics and Computer Science.</t>
  </si>
  <si>
    <t>30.4001: Economics and Foreign Language/Literature.</t>
  </si>
  <si>
    <t>30.4101: Environmental Geosciences.</t>
  </si>
  <si>
    <t>30.4201: Geoarcheaology.</t>
  </si>
  <si>
    <t>30.4301: Geobiology.</t>
  </si>
  <si>
    <t>30.4401: Geography and Environmental Studies.</t>
  </si>
  <si>
    <t>30.4501: History and Language/Literature.</t>
  </si>
  <si>
    <t>30.4601: History and Political Science.</t>
  </si>
  <si>
    <t>30.4701: Linguistics and Anthropology.</t>
  </si>
  <si>
    <t>30.4801: Linguistics and Computer Science.</t>
  </si>
  <si>
    <t>30.4901: Mathematical Economics.</t>
  </si>
  <si>
    <t>30.5001: Mathematics and Atmospheric/Oceanic Science.</t>
  </si>
  <si>
    <t>30.5101: Philosophy, Politics, and Economics.</t>
  </si>
  <si>
    <t>30.5201: Digital Humanities and Textual Studies, General.</t>
  </si>
  <si>
    <t>30.5202: Digital Humanities.</t>
  </si>
  <si>
    <t>30.5203: Textual Studies.</t>
  </si>
  <si>
    <t>30.5299: Digital Humanities and Textual Studies, Other.</t>
  </si>
  <si>
    <t>30.5301: Thanatology.</t>
  </si>
  <si>
    <t>30.7001: Data Science, General.</t>
  </si>
  <si>
    <t>30.7099: Data Science, Other.</t>
  </si>
  <si>
    <t>30.7101: Data Analytics, General.</t>
  </si>
  <si>
    <t>30.7102: Business Analytics.</t>
  </si>
  <si>
    <t>30.7103: Data Visualization.</t>
  </si>
  <si>
    <t>30.7104: Financial Analytics.</t>
  </si>
  <si>
    <t>30.7199: Data Analytics, Other.</t>
  </si>
  <si>
    <t>30.9999: Multi-/Interdisciplinary Studies, Other.</t>
  </si>
  <si>
    <t>31.0101: Parks, Recreation, and Leisure Studies.</t>
  </si>
  <si>
    <t>31.0301: Parks, Recreation, and Leisure Facilities Management, General.</t>
  </si>
  <si>
    <t>31.0302: Golf Course Operation and Grounds Management.</t>
  </si>
  <si>
    <t>31.0399: Parks, Recreation, and Leisure Facilities Management, Other.</t>
  </si>
  <si>
    <t>31.0501: Sports, Kinesiology, and Physical Education/Fitness, General.</t>
  </si>
  <si>
    <t>31.0504: Sport and Fitness Administration/Management.</t>
  </si>
  <si>
    <t>31.0505: Exercise Science and Kinesiology.</t>
  </si>
  <si>
    <t>31.0507: Physical Fitness Technician.</t>
  </si>
  <si>
    <t>31.0508: Sports Studies.</t>
  </si>
  <si>
    <t>31.0599: Sports, Kinesiology, and Physical Education/Fitness, Other.</t>
  </si>
  <si>
    <t>31.0601: Outdoor Education.</t>
  </si>
  <si>
    <t>31.9999: Parks, Recreation, Leisure, Fitness, and Kinesiology, Other.</t>
  </si>
  <si>
    <t>32.0101: Basic Skills and Developmental/Remedial Education, General.</t>
  </si>
  <si>
    <t>32.0104: Developmental/Remedial Mathematics.</t>
  </si>
  <si>
    <t>32.0105: Job-Seeking/Changing Skills.</t>
  </si>
  <si>
    <t>32.0107: Career Exploration/Awareness Skills.</t>
  </si>
  <si>
    <t>32.0108: Developmental/Remedial English.</t>
  </si>
  <si>
    <t>32.0109: Second Language Learning.</t>
  </si>
  <si>
    <t>32.0110: Basic Computer Skills.</t>
  </si>
  <si>
    <t>32.0111: Workforce Development and Training.</t>
  </si>
  <si>
    <t>32.0112: Accent Reduction/Modification.</t>
  </si>
  <si>
    <t>32.0199: Basic Skills and Developmental/Remedial Education, Other.</t>
  </si>
  <si>
    <t>32.0201: Exam Preparation and Test-Taking Skills, General.</t>
  </si>
  <si>
    <t>32.0202: High School Equivalent Exam Preparation.</t>
  </si>
  <si>
    <t>32.0203: Undergraduate Entrance/Placement Examination Preparation.</t>
  </si>
  <si>
    <t>32.0204: Graduate/Professional School Entrance Examination Preparation.</t>
  </si>
  <si>
    <t>32.0205: Professional Certification/Licensure Examination Preparation.</t>
  </si>
  <si>
    <t>32.0299: General Exam Preparation and Test-Taking Skills, Other.</t>
  </si>
  <si>
    <t>33.0101: Citizenship Activities, General.</t>
  </si>
  <si>
    <t>33.0102: American Citizenship Education.</t>
  </si>
  <si>
    <t>33.0103: Community Awareness.</t>
  </si>
  <si>
    <t>33.0104: Community Involvement.</t>
  </si>
  <si>
    <t>33.0105: Canadian Citizenship Education.</t>
  </si>
  <si>
    <t>33.0106: Personal Emergency Preparedness.</t>
  </si>
  <si>
    <t>33.0199: Citizenship Activities, Other.</t>
  </si>
  <si>
    <t>34.0102: Birthing and Parenting Knowledge and Skills.</t>
  </si>
  <si>
    <t>34.0103: Personal Health Improvement and Maintenance.</t>
  </si>
  <si>
    <t>34.0104: Addiction Prevention and Treatment.</t>
  </si>
  <si>
    <t>34.0105: Meditation/Mind-Body Wellness.</t>
  </si>
  <si>
    <t>34.0199: Health-Related Knowledge and Skills, Other.</t>
  </si>
  <si>
    <t>35.0101: Interpersonal and Social Skills, General.</t>
  </si>
  <si>
    <t>35.0102: Interpersonal Relationships Skills.</t>
  </si>
  <si>
    <t>35.0103: Business and Social Skills.</t>
  </si>
  <si>
    <t>35.0105: Life Coaching.</t>
  </si>
  <si>
    <t>35.0199: Interpersonal Social Skills, Other.</t>
  </si>
  <si>
    <t>36.0101: Leisure and Recreational Activities, General.</t>
  </si>
  <si>
    <t>36.0102: Handicrafts and Model-Making.</t>
  </si>
  <si>
    <t>36.0103: Board, Card and Role-Playing Games.</t>
  </si>
  <si>
    <t>36.0105: Home Maintenance and Improvement.</t>
  </si>
  <si>
    <t>36.0106: Nature Appreciation.</t>
  </si>
  <si>
    <t>36.0107: Pet Ownership and Care.</t>
  </si>
  <si>
    <t>36.0108: Sports and Exercise.</t>
  </si>
  <si>
    <t>36.0109: Travel and Exploration.</t>
  </si>
  <si>
    <t>36.0110: Art.</t>
  </si>
  <si>
    <t>36.0111: Collecting.</t>
  </si>
  <si>
    <t>36.0112: Cooking and Other Domestic Skills.</t>
  </si>
  <si>
    <t>36.0113: Computer Games and Programming Skills.</t>
  </si>
  <si>
    <t>36.0114: Dancing.</t>
  </si>
  <si>
    <t>36.0115: Music.</t>
  </si>
  <si>
    <t>36.0116: Reading.</t>
  </si>
  <si>
    <t>36.0117: Theatre/Theater.</t>
  </si>
  <si>
    <t>36.0118: Writing.</t>
  </si>
  <si>
    <t>36.0202: Aircraft Pilot (Private).</t>
  </si>
  <si>
    <t>36.0120: Beekeeping.</t>
  </si>
  <si>
    <t>36.0121: Firearms Training/Safety.</t>
  </si>
  <si>
    <t>36.0122: Floral Design/Arrangement.</t>
  </si>
  <si>
    <t>36.0123: Master Gardener/Gardening.</t>
  </si>
  <si>
    <t>36.0199: Leisure and Recreational Activities, Other.</t>
  </si>
  <si>
    <t>36.0203: Automobile Driver Education.</t>
  </si>
  <si>
    <t>36.0204: Helicopter Pilot (Private).</t>
  </si>
  <si>
    <t>36.0205: Motorcycle Rider Education.</t>
  </si>
  <si>
    <t>36.0206: Personal Watercraft/Boating Education.</t>
  </si>
  <si>
    <t>36.0207: Remote Aircraft Pilot.</t>
  </si>
  <si>
    <t>36.0299: Noncommercial Vehicle Operation, Other.</t>
  </si>
  <si>
    <t>37.0101: Self-Awareness and Personal Assessment.</t>
  </si>
  <si>
    <t>37.0102: Stress Management and Coping Skills.</t>
  </si>
  <si>
    <t>37.0103: Personal Decision-Making Skills.</t>
  </si>
  <si>
    <t>37.0104: Self-Esteem and Values Clarification.</t>
  </si>
  <si>
    <t>37.0106: Investing/Wealth Management/Retirement Planning.</t>
  </si>
  <si>
    <t>37.0107: Self-Defense.</t>
  </si>
  <si>
    <t>37.0199: Personal Awareness and Self-Improvement, Other.</t>
  </si>
  <si>
    <t>38.0001: Philosophy and Religious Studies, General.</t>
  </si>
  <si>
    <t>38.0101: Philosophy.</t>
  </si>
  <si>
    <t>38.0102: Logic.</t>
  </si>
  <si>
    <t>38.0103: Ethics.</t>
  </si>
  <si>
    <t>38.0104: Applied and Professional Ethics.</t>
  </si>
  <si>
    <t>38.0199: Philosophy, Other.</t>
  </si>
  <si>
    <t>38.0201: Religion/Religious Studies.</t>
  </si>
  <si>
    <t>38.0202: Buddhist Studies.</t>
  </si>
  <si>
    <t>38.0203: Christian Studies.</t>
  </si>
  <si>
    <t>38.0204: Hindu Studies.</t>
  </si>
  <si>
    <t>38.0205: Islamic Studies.</t>
  </si>
  <si>
    <t>38.0206: Jewish/Judaic Studies.</t>
  </si>
  <si>
    <t>38.0208: Catholic Studies.</t>
  </si>
  <si>
    <t>38.0209: Mormon Studies.</t>
  </si>
  <si>
    <t>38.0299: Religion/Religious Studies, Other.</t>
  </si>
  <si>
    <t>38.9999: Philosophy and Religious Studies, Other.</t>
  </si>
  <si>
    <t>39.0201: Bible/Biblical Studies.</t>
  </si>
  <si>
    <t>39.0301: Missions/Missionary Studies.</t>
  </si>
  <si>
    <t>39.0302: Church Planting.</t>
  </si>
  <si>
    <t>39.0399: Missions/Missionary Studies and Missiology, Other.</t>
  </si>
  <si>
    <t>39.0401: Religious Education.</t>
  </si>
  <si>
    <t>39.0501: Religious/Sacred Music.</t>
  </si>
  <si>
    <t>39.0502: Worship Ministry.</t>
  </si>
  <si>
    <t>39.0599: Religious Music and Worship, Other.</t>
  </si>
  <si>
    <t>39.0601: Theology/Theological Studies.</t>
  </si>
  <si>
    <t>39.0602: Divinity/Ministry.</t>
  </si>
  <si>
    <t>39.0604: Pre-Theology/Pre-Ministerial Studies.</t>
  </si>
  <si>
    <t>39.0605: Rabbinical Studies.</t>
  </si>
  <si>
    <t>38.0207: Talmudic Studies.</t>
  </si>
  <si>
    <t>39.0699: Theological and Ministerial Studies, Other.</t>
  </si>
  <si>
    <t>39.0701: Pastoral Studies/Counseling.</t>
  </si>
  <si>
    <t>39.0702: Youth Ministry.</t>
  </si>
  <si>
    <t>39.0703: Urban Ministry.</t>
  </si>
  <si>
    <t>39.0704: Women&amp;#39;s Ministry.</t>
  </si>
  <si>
    <t>39.0705: Lay Ministry.</t>
  </si>
  <si>
    <t>39.0706: Chaplain/Chaplaincy Studies.</t>
  </si>
  <si>
    <t>39.0799: Pastoral Counseling and Specialized Ministries, Other.</t>
  </si>
  <si>
    <t>39.0801: Religious Institution Administration and Management.</t>
  </si>
  <si>
    <t>39.0802: Religious/Canon Law.</t>
  </si>
  <si>
    <t>39.0899: Religious Institution Administration and Law, Other.</t>
  </si>
  <si>
    <t>39.9999: Theology and Religious Vocations, Other.</t>
  </si>
  <si>
    <t>40.0101: Physical Sciences, General.</t>
  </si>
  <si>
    <t>40.0201: Astronomy.</t>
  </si>
  <si>
    <t>40.0202: Astrophysics.</t>
  </si>
  <si>
    <t>40.0203: Planetary Astronomy and Science.</t>
  </si>
  <si>
    <t>40.0299: Astronomy and Astrophysics, Other.</t>
  </si>
  <si>
    <t>40.0401: Atmospheric Sciences and Meteorology, General.</t>
  </si>
  <si>
    <t>40.0402: Atmospheric Chemistry and Climatology.</t>
  </si>
  <si>
    <t>40.0403: Atmospheric Physics and Dynamics.</t>
  </si>
  <si>
    <t>40.0404: Meteorology.</t>
  </si>
  <si>
    <t>40.0499: Atmospheric Sciences and Meteorology, Other.</t>
  </si>
  <si>
    <t>40.0501: Chemistry, General.</t>
  </si>
  <si>
    <t>40.0502: Analytical Chemistry.</t>
  </si>
  <si>
    <t>40.0503: Inorganic Chemistry.</t>
  </si>
  <si>
    <t>40.0504: Organic Chemistry.</t>
  </si>
  <si>
    <t>40.0506: Physical Chemistry.</t>
  </si>
  <si>
    <t>40.0507: Polymer Chemistry.</t>
  </si>
  <si>
    <t>40.0508: Chemical Physics.</t>
  </si>
  <si>
    <t>40.0509: Environmental Chemistry.</t>
  </si>
  <si>
    <t>40.0510: Forensic Chemistry.</t>
  </si>
  <si>
    <t>40.0511: Theoretical Chemistry.</t>
  </si>
  <si>
    <t>40.0512: Cheminformatics/Chemistry Informatics.</t>
  </si>
  <si>
    <t>40.0599: Chemistry, Other.</t>
  </si>
  <si>
    <t>40.0601: Geology/Earth Science, General.</t>
  </si>
  <si>
    <t>40.0602: Geochemistry.</t>
  </si>
  <si>
    <t>40.0603: Geophysics and Seismology.</t>
  </si>
  <si>
    <t>40.0604: Paleontology.</t>
  </si>
  <si>
    <t>40.0605: Hydrology and Water Resources Science.</t>
  </si>
  <si>
    <t>40.0606: Geochemistry and Petrology.</t>
  </si>
  <si>
    <t>40.0607: Oceanography, Chemical and Physical.</t>
  </si>
  <si>
    <t>40.0699: Geological and Earth Sciences/Geosciences, Other.</t>
  </si>
  <si>
    <t>40.0801: Physics, General.</t>
  </si>
  <si>
    <t>40.0802: Atomic/Molecular Physics.</t>
  </si>
  <si>
    <t>40.0804: Elementary Particle Physics.</t>
  </si>
  <si>
    <t>40.0805: Plasma and High-Temperature Physics.</t>
  </si>
  <si>
    <t>40.0806: Nuclear Physics.</t>
  </si>
  <si>
    <t>40.0807: Optics/Optical Sciences.</t>
  </si>
  <si>
    <t>40.0808: Condensed Matter and Materials Physics.</t>
  </si>
  <si>
    <t>40.0809: Acoustics.</t>
  </si>
  <si>
    <t>40.0810: Theoretical and Mathematical Physics.</t>
  </si>
  <si>
    <t>40.0899: Physics, Other.</t>
  </si>
  <si>
    <t>40.1001: Materials Science.</t>
  </si>
  <si>
    <t>40.1002: Materials Chemistry.</t>
  </si>
  <si>
    <t>40.1099: Materials Sciences, Other.</t>
  </si>
  <si>
    <t>40.1101: Physics and Astronomy.</t>
  </si>
  <si>
    <t>40.9999: Physical Sciences, Other.</t>
  </si>
  <si>
    <t>41.0000: Science Technologies/Technicians, General.</t>
  </si>
  <si>
    <t>41.0101: Biology/Biotechnology Technology/Technician.</t>
  </si>
  <si>
    <t>41.0204: Industrial Radiologic Technology/Technician.</t>
  </si>
  <si>
    <t>41.0205: Nuclear/Nuclear Power Technology/Technician.</t>
  </si>
  <si>
    <t>41.0299: Nuclear and Industrial Radiologic Technologies/Technicians, Other.</t>
  </si>
  <si>
    <t>41.0301: Chemical Technology/Technician.</t>
  </si>
  <si>
    <t>41.0303: Chemical Process Technology.</t>
  </si>
  <si>
    <t>41.0399: Physical Science Technologies/Technicians, Other.</t>
  </si>
  <si>
    <t>41.9999: Science Technologies/Technicians, Other.</t>
  </si>
  <si>
    <t>42.0101: Psychology, General.</t>
  </si>
  <si>
    <t>42.2701: Cognitive Psychology and Psycholinguistics.</t>
  </si>
  <si>
    <t>42.2702: Comparative Psychology.</t>
  </si>
  <si>
    <t>42.2703: Developmental and Child Psychology.</t>
  </si>
  <si>
    <t>42.2704: Experimental Psychology.</t>
  </si>
  <si>
    <t>42.2705: Personality Psychology.</t>
  </si>
  <si>
    <t>42.2706: Behavioral Neuroscience.</t>
  </si>
  <si>
    <t>42.2707: Social Psychology.</t>
  </si>
  <si>
    <t>42.2708: Psychometrics and Quantitative Psychology.</t>
  </si>
  <si>
    <t>42.2709: Psychopharmacology.</t>
  </si>
  <si>
    <t>42.2710: Developmental and Adolescent Psychology.</t>
  </si>
  <si>
    <t>42.2799: Research and Experimental Psychology, Other.</t>
  </si>
  <si>
    <t>42.2801: Clinical Psychology.</t>
  </si>
  <si>
    <t>42.2802: Community Psychology.</t>
  </si>
  <si>
    <t>42.2803: Counseling Psychology.</t>
  </si>
  <si>
    <t>42.2804: Industrial and Organizational Psychology.</t>
  </si>
  <si>
    <t>42.2805: School Psychology.</t>
  </si>
  <si>
    <t>42.2806: Educational Psychology.</t>
  </si>
  <si>
    <t>42.2807: Clinical Child Psychology.</t>
  </si>
  <si>
    <t>42.2808: Environmental Psychology.</t>
  </si>
  <si>
    <t>42.2809: Geropsychology.</t>
  </si>
  <si>
    <t>42.2810: Health/Medical Psychology.</t>
  </si>
  <si>
    <t>42.2811: Family Psychology.</t>
  </si>
  <si>
    <t>42.2812: Forensic Psychology.</t>
  </si>
  <si>
    <t>42.2813: Applied Psychology.</t>
  </si>
  <si>
    <t>42.2814: Applied Behavior Analysis.</t>
  </si>
  <si>
    <t>42.2815: Performance and Sport Psychology.</t>
  </si>
  <si>
    <t>42.2816: Somatic Psychology.</t>
  </si>
  <si>
    <t>42.2817: Transpersonal/Spiritual Psychology.</t>
  </si>
  <si>
    <t>42.2899: Clinical, Counseling and Applied Psychology, Other.</t>
  </si>
  <si>
    <t>42.9999: Psychology, Other.</t>
  </si>
  <si>
    <t>43.0100: Criminal Justice and Corrections, General.</t>
  </si>
  <si>
    <t>43.0102: Corrections.</t>
  </si>
  <si>
    <t>43.0103: Criminal Justice/Law Enforcement Administration.</t>
  </si>
  <si>
    <t>43.0104: Criminal Justice/Safety Studies.</t>
  </si>
  <si>
    <t>43.0406: Forensic Science and Technology.</t>
  </si>
  <si>
    <t>43.0107: Criminal Justice/Police Science.</t>
  </si>
  <si>
    <t>43.0109: Security and Loss Prevention Services.</t>
  </si>
  <si>
    <t>43.0110: Juvenile Corrections.</t>
  </si>
  <si>
    <t>43.0402: Criminalistics and Criminal Science.</t>
  </si>
  <si>
    <t>43.0112: Securities Services Administration/Management.</t>
  </si>
  <si>
    <t>43.0113: Corrections Administration.</t>
  </si>
  <si>
    <t>43.0114: Law Enforcement Investigation and Interviewing.</t>
  </si>
  <si>
    <t>43.0115: Law Enforcement Record-Keeping and Evidence Management.</t>
  </si>
  <si>
    <t>43.0403: Cyber/Computer Forensics and Counterterrorism.</t>
  </si>
  <si>
    <t>43.0405: Financial Forensics and Fraud Investigation.</t>
  </si>
  <si>
    <t>43.0408: Law Enforcement Intelligence Analysis.</t>
  </si>
  <si>
    <t>43.0119: Critical Incident Response/Special Police Operations.</t>
  </si>
  <si>
    <t>43.0120: Protective Services Operations.</t>
  </si>
  <si>
    <t>43.0121: Suspension and Debarment Investigation.</t>
  </si>
  <si>
    <t>43.0122: Maritime Law Enforcement.</t>
  </si>
  <si>
    <t>43.0123: Cultural/Archaelogical Resources Protection.</t>
  </si>
  <si>
    <t>43.0199: Corrections and Criminal Justice, Other.</t>
  </si>
  <si>
    <t>43.0201: Fire Prevention and Safety Technology/Technician.</t>
  </si>
  <si>
    <t>43.0202: Fire Services Administration.</t>
  </si>
  <si>
    <t>43.0203: Fire Science/Fire-fighting.</t>
  </si>
  <si>
    <t>43.0204: Fire Systems Technology.</t>
  </si>
  <si>
    <t>43.0205: Fire/Arson Investigation and Prevention.</t>
  </si>
  <si>
    <t>43.0206: Wildland/Forest Firefighting and Investigation.</t>
  </si>
  <si>
    <t>43.0299: Fire Protection, Other.</t>
  </si>
  <si>
    <t>43.0301: Homeland Security.</t>
  </si>
  <si>
    <t>43.0302: Crisis/Emergency/Disaster Management.</t>
  </si>
  <si>
    <t>43.0303: Critical Infrastructure Protection.</t>
  </si>
  <si>
    <t>43.0304: Terrorism and Counterterrorism Operations.</t>
  </si>
  <si>
    <t>43.0399: Homeland Security, Other.</t>
  </si>
  <si>
    <t>43.0401: Security Science and Technology, General.</t>
  </si>
  <si>
    <t>43.0404: Cybersecurity Defense Strategy/Policy.</t>
  </si>
  <si>
    <t>43.0407: Geospatial Intelligence.</t>
  </si>
  <si>
    <t>43.0499: Security Science and Technology, Other.</t>
  </si>
  <si>
    <t>43.9999: Homeland Security, Law Enforcement, Firefighting and Related Protective Services, Other.</t>
  </si>
  <si>
    <t>44.0000: Human Services, General.</t>
  </si>
  <si>
    <t>44.0201: Community Organization and Advocacy.</t>
  </si>
  <si>
    <t>44.0401: Public Administration.</t>
  </si>
  <si>
    <t>44.0402: Public Works Management.</t>
  </si>
  <si>
    <t>44.0403: Transportation and Infrastructure Planning/Studies.</t>
  </si>
  <si>
    <t>44.0499: Public Administration, Other.</t>
  </si>
  <si>
    <t>44.0501: Public Policy Analysis, General.</t>
  </si>
  <si>
    <t>44.0502: Education Policy Analysis.</t>
  </si>
  <si>
    <t>44.0503: Health Policy Analysis.</t>
  </si>
  <si>
    <t>44.0504: International Policy Analysis.</t>
  </si>
  <si>
    <t>44.0580: Reserved.</t>
  </si>
  <si>
    <t>44.0599: Public Policy Analysis, Other.</t>
  </si>
  <si>
    <t>44.0701: Social Work.</t>
  </si>
  <si>
    <t>44.0702: Youth Services/Administration.</t>
  </si>
  <si>
    <t>44.0703: Forensic Social Work.</t>
  </si>
  <si>
    <t>44.0799: Social Work, Other.</t>
  </si>
  <si>
    <t>44.9999: Public Administration and Social Service Professions, Other.</t>
  </si>
  <si>
    <t>45.0101: Social Sciences, General.</t>
  </si>
  <si>
    <t>45.0102: Research Methodology and Quantitative Methods.</t>
  </si>
  <si>
    <t>45.0103: Survey Research/Methodology.</t>
  </si>
  <si>
    <t>45.0199: Social Sciences, Other.</t>
  </si>
  <si>
    <t>45.0201: Anthropology, General.</t>
  </si>
  <si>
    <t>45.0202: Physical and Biological Anthropology.</t>
  </si>
  <si>
    <t>45.0203: Medical Anthropology.</t>
  </si>
  <si>
    <t>45.0204: Cultural Anthropology.</t>
  </si>
  <si>
    <t>45.0205: Forensic Anthropology.</t>
  </si>
  <si>
    <t>45.0299: Anthropology, Other.</t>
  </si>
  <si>
    <t>45.0301: Archeology.</t>
  </si>
  <si>
    <t>45.0401: Criminology.</t>
  </si>
  <si>
    <t>45.0501: Demography and Population Studies.</t>
  </si>
  <si>
    <t>45.0502: Applied Demography.</t>
  </si>
  <si>
    <t>45.0599: Demography, Other.</t>
  </si>
  <si>
    <t>45.0601: Economics, General.</t>
  </si>
  <si>
    <t>45.0602: Applied Economics.</t>
  </si>
  <si>
    <t>45.0603: Econometrics and Quantitative Economics.</t>
  </si>
  <si>
    <t>45.0604: Development Economics and International Development.</t>
  </si>
  <si>
    <t>45.0605: International Economics.</t>
  </si>
  <si>
    <t>45.0699: Economics, Other.</t>
  </si>
  <si>
    <t>45.0701: Geography.</t>
  </si>
  <si>
    <t>45.0702: Geographic Information Science and Cartography.</t>
  </si>
  <si>
    <t>45.0799: Geography, Other.</t>
  </si>
  <si>
    <t>45.0901: International Relations and Affairs.</t>
  </si>
  <si>
    <t>45.0902: National Security Policy Studies.</t>
  </si>
  <si>
    <t>45.0999: International Relations and National Security Studies, Other.</t>
  </si>
  <si>
    <t>45.1001: Political Science and Government, General.</t>
  </si>
  <si>
    <t>45.1002: American Government and Politics (United States).</t>
  </si>
  <si>
    <t>45.1003: Canadian Government and Politics.</t>
  </si>
  <si>
    <t>45.1004: Political Economy.</t>
  </si>
  <si>
    <t>45.1099: Political Science and Government, Other.</t>
  </si>
  <si>
    <t>45.1101: Sociology, General.</t>
  </si>
  <si>
    <t>45.1102: Applied/Public Sociology.</t>
  </si>
  <si>
    <t>45.1199: Sociology, Other.</t>
  </si>
  <si>
    <t>45.1201: Urban Studies/Affairs.</t>
  </si>
  <si>
    <t>45.1301: Sociology and Anthropology.</t>
  </si>
  <si>
    <t>45.1103: Rural Sociology.</t>
  </si>
  <si>
    <t>45.1501: Geography and Anthropology.</t>
  </si>
  <si>
    <t>45.9999: Social Sciences, Other.</t>
  </si>
  <si>
    <t>46.0000: Construction Trades, General.</t>
  </si>
  <si>
    <t>46.0101: Mason/Masonry.</t>
  </si>
  <si>
    <t>46.0201: Carpentry/Carpenter.</t>
  </si>
  <si>
    <t>46.0301: Electrical and Power Transmission Installation/Installer, General.</t>
  </si>
  <si>
    <t>46.0302: Electrician.</t>
  </si>
  <si>
    <t>46.0303: Lineworker.</t>
  </si>
  <si>
    <t>46.0399: Electrical and Power Transmission Installers, Other.</t>
  </si>
  <si>
    <t>46.0401: Building/Property Maintenance.</t>
  </si>
  <si>
    <t>46.0402: Concrete Finishing/Concrete Finisher.</t>
  </si>
  <si>
    <t>46.0403: Building/Home/Construction Inspection/Inspector.</t>
  </si>
  <si>
    <t>46.0404: Drywall Installation/Drywaller.</t>
  </si>
  <si>
    <t>46.0406: Glazier.</t>
  </si>
  <si>
    <t>46.0408: Painting/Painter and Wall Coverer.</t>
  </si>
  <si>
    <t>46.0410: Roofer.</t>
  </si>
  <si>
    <t>46.0411: Metal Building Assembly/Assembler.</t>
  </si>
  <si>
    <t>46.0412: Building/Construction Site Management/Manager.</t>
  </si>
  <si>
    <t>46.0413: Carpet, Floor, and Tile Worker.</t>
  </si>
  <si>
    <t>46.0414: Insulator.</t>
  </si>
  <si>
    <t>46.0415: Building Construction Technology/Technician.</t>
  </si>
  <si>
    <t>46.0499: Building/Construction Finishing, Management, and Inspection, Other.</t>
  </si>
  <si>
    <t>46.0502: Pipefitting/Pipefitter and Sprinkler Fitter.</t>
  </si>
  <si>
    <t>46.0503: Plumbing Technology/Plumber.</t>
  </si>
  <si>
    <t>46.0504: Well Drilling/Driller.</t>
  </si>
  <si>
    <t>46.0505: Blasting/Blaster.</t>
  </si>
  <si>
    <t>46.0599: Plumbing and Related Water Supply Services, Other.</t>
  </si>
  <si>
    <t>46.9999: Construction Trades, Other.</t>
  </si>
  <si>
    <t>47.0000: Mechanics and Repairers, General.</t>
  </si>
  <si>
    <t>47.0101: Electrical/Electronics Equipment Installation and Repair Technology/Technician, General.</t>
  </si>
  <si>
    <t>47.0102: Business Machine Repair.</t>
  </si>
  <si>
    <t>47.0103: Communications Systems Installation and Repair Technology/Technician.</t>
  </si>
  <si>
    <t>47.0104: Computer Installation and Repair Technology/Technician.</t>
  </si>
  <si>
    <t>47.0105: Industrial Electronics Technology/Technician.</t>
  </si>
  <si>
    <t>47.0106: Appliance Installation and Repair Technology/Technician.</t>
  </si>
  <si>
    <t>47.0110: Security System Installation, Repair, and Inspection Technology/Technician.</t>
  </si>
  <si>
    <t>47.0199: Electrical/Electronics Maintenance and Repair Technologies/Technicians, Other.</t>
  </si>
  <si>
    <t>47.0201: Heating, Air Conditioning, Ventilation and Refrigeration Maintenance Technology/Technician.</t>
  </si>
  <si>
    <t>47.0302: Heavy Equipment Maintenance Technology/Technician.</t>
  </si>
  <si>
    <t>47.0303: Industrial Mechanics and Maintenance Technology/Technician.</t>
  </si>
  <si>
    <t>47.0399: Heavy/Industrial Equipment Maintenance Technologies/Technicians, Other.</t>
  </si>
  <si>
    <t>47.0402: Gunsmithing/Gunsmith.</t>
  </si>
  <si>
    <t>47.0403: Locksmithing and Safe Repair.</t>
  </si>
  <si>
    <t>47.0404: Musical Instrument Fabrication and Repair.</t>
  </si>
  <si>
    <t>47.0408: Watchmaking and Jewelrymaking.</t>
  </si>
  <si>
    <t>47.0409: Parts and Warehousing Operations and Maintenance Technology/Technician.</t>
  </si>
  <si>
    <t>47.0499: Precision Systems Maintenance and Repair Technologies/Technicians, Other.</t>
  </si>
  <si>
    <t>47.0600: Vehicle Maintenance and Repair Technology/Technician, General.</t>
  </si>
  <si>
    <t>47.0603: Autobody/Collision and Repair Technology/Technician.</t>
  </si>
  <si>
    <t>47.0604: Automobile/Automotive Mechanics Technology/Technician.</t>
  </si>
  <si>
    <t>47.0605: Diesel Mechanics Technology/Technician.</t>
  </si>
  <si>
    <t>47.0606: Small Engine Mechanics and Repair Technology/Technician.</t>
  </si>
  <si>
    <t>47.0607: Airframe Mechanics and Aircraft Maintenance Technology/Technician.</t>
  </si>
  <si>
    <t>47.0608: Aircraft Powerplant Technology/Technician.</t>
  </si>
  <si>
    <t>47.0609: Avionics Maintenance Technology/Technician.</t>
  </si>
  <si>
    <t>47.0610: Bicycle Mechanics and Repair Technology/Technician.</t>
  </si>
  <si>
    <t>47.0611: Motorcycle Maintenance and Repair Technology/Technician.</t>
  </si>
  <si>
    <t>47.0612: Vehicle Emissions Inspection and Maintenance Technology/Technician.</t>
  </si>
  <si>
    <t>47.0613: Medium/Heavy Vehicle and Truck Technology/Technician.</t>
  </si>
  <si>
    <t>47.0614: Alternative Fuel Vehicle Technology/Technician.</t>
  </si>
  <si>
    <t>47.0615: Engine Machinist.</t>
  </si>
  <si>
    <t>47.0616: Marine Maintenance/Fitter and Ship Repair Technology/Technician.</t>
  </si>
  <si>
    <t>47.0617: High Performance and Custom Engine Technician/Mechanic.</t>
  </si>
  <si>
    <t>47.0618: Recreation Vehicle (RV) Service Technician.</t>
  </si>
  <si>
    <t>47.0699: Vehicle Maintenance and Repair Technologies/Technicians, Other.</t>
  </si>
  <si>
    <t>47.0701: Energy Systems Installation and Repair Technology/Technician.</t>
  </si>
  <si>
    <t>47.0703: Solar Energy System Installation and Repair Technology/Technician.</t>
  </si>
  <si>
    <t>47.0704: Wind Energy System Installation and Repair Technology/Technician.</t>
  </si>
  <si>
    <t>47.0705: Hydroelectric Energy System Installation and Repair Technology/Technician.</t>
  </si>
  <si>
    <t>47.0706: Geothermal Energy System Installation and Repair Technology/Technician.</t>
  </si>
  <si>
    <t>47.0799: Energy Systems Maintenance and Repair Technologies/Technicians, Other.</t>
  </si>
  <si>
    <t>47.9999: Mechanic and Repair Technologies/Technicians, Other.</t>
  </si>
  <si>
    <t>48.0000: Precision Production Trades, General.</t>
  </si>
  <si>
    <t>48.0303: Upholstery/Upholsterer.</t>
  </si>
  <si>
    <t>48.0304: Shoe, Boot and Leather Repair.</t>
  </si>
  <si>
    <t>48.0399: Leatherworking and Upholstery, Other.</t>
  </si>
  <si>
    <t>48.0501: Machine Tool Technology/Machinist.</t>
  </si>
  <si>
    <t>48.0503: Machine Shop Technology/Assistant.</t>
  </si>
  <si>
    <t>48.0506: Sheet Metal Technology/Sheetworking.</t>
  </si>
  <si>
    <t>48.0507: Tool and Die Technology/Technician.</t>
  </si>
  <si>
    <t>48.0508: Welding Technology/Welder.</t>
  </si>
  <si>
    <t>48.0509: Ironworking/Ironworker.</t>
  </si>
  <si>
    <t>48.0510: Computer Numerically Controlled (CNC) Machinist Technology/CNC Machinist.</t>
  </si>
  <si>
    <t>48.0511: Metal Fabricator.</t>
  </si>
  <si>
    <t>48.0599: Precision Metal Working, Other.</t>
  </si>
  <si>
    <t>48.0701: Woodworking, General.</t>
  </si>
  <si>
    <t>48.0702: Furniture Design and Manufacturing.</t>
  </si>
  <si>
    <t>48.0703: Cabinetmaking and Millwork.</t>
  </si>
  <si>
    <t>48.0704: Wooden Boatbuilding Technology/Technician.</t>
  </si>
  <si>
    <t>48.0799: Woodworking, Other.</t>
  </si>
  <si>
    <t>48.0801: Boilermaking/Boilermaker.</t>
  </si>
  <si>
    <t>48.9999: Precision Production, Other.</t>
  </si>
  <si>
    <t>49.0101: Aeronautics/Aviation/Aerospace Science and Technology, General.</t>
  </si>
  <si>
    <t>49.0102: Airline/Commercial/Professional Pilot and Flight Crew.</t>
  </si>
  <si>
    <t>49.0104: Aviation/Airway Management and Operations.</t>
  </si>
  <si>
    <t>49.0105: Air Traffic Controller.</t>
  </si>
  <si>
    <t>49.0106: Airline Flight Attendant.</t>
  </si>
  <si>
    <t>49.0108: Flight Instructor.</t>
  </si>
  <si>
    <t>49.0199: Air Transportation, Other.</t>
  </si>
  <si>
    <t>49.0202: Construction/Heavy Equipment/Earthmoving Equipment Operation.</t>
  </si>
  <si>
    <t>49.0205: Truck and Bus Driver/Commercial Vehicle Operator and Instructor.</t>
  </si>
  <si>
    <t>49.0206: Mobil Crane Operator/Operation.</t>
  </si>
  <si>
    <t>49.0207: Flagging and Traffic Control.</t>
  </si>
  <si>
    <t>49.0208: Railroad and Railway Transportation.</t>
  </si>
  <si>
    <t>49.0209: Forklift Operation/Operator.</t>
  </si>
  <si>
    <t>49.0299: Ground Transportation, Other.</t>
  </si>
  <si>
    <t>49.0303: Commercial Fishing.</t>
  </si>
  <si>
    <t>49.0304: Diver, Professional and Instructor.</t>
  </si>
  <si>
    <t>49.0309: Marine Science/Merchant Marine Officer.</t>
  </si>
  <si>
    <t>49.0399: Marine Transportation, Other.</t>
  </si>
  <si>
    <t>49.9999: Transportation and Materials Moving, Other.</t>
  </si>
  <si>
    <t>50.0101: Visual and Performing Arts, General.</t>
  </si>
  <si>
    <t>50.0102: Digital Arts.</t>
  </si>
  <si>
    <t>50.0201: Crafts/Craft Design, Folk Art and Artisanry.</t>
  </si>
  <si>
    <t>50.0301: Dance, General.</t>
  </si>
  <si>
    <t>50.0302: Ballet.</t>
  </si>
  <si>
    <t>50.0399: Dance, Other.</t>
  </si>
  <si>
    <t>50.0401: Design and Visual Communications, General.</t>
  </si>
  <si>
    <t>50.0402: Commercial and Advertising Art.</t>
  </si>
  <si>
    <t>50.0404: Industrial and Product Design.</t>
  </si>
  <si>
    <t>50.0406: Commercial Photography.</t>
  </si>
  <si>
    <t>50.0407: Fashion/Apparel Design.</t>
  </si>
  <si>
    <t>50.0408: Interior Design.</t>
  </si>
  <si>
    <t>50.0409: Graphic Design.</t>
  </si>
  <si>
    <t>50.0410: Illustration.</t>
  </si>
  <si>
    <t>50.0411: Game and Interactive Media Design.</t>
  </si>
  <si>
    <t>50.0499: Design and Applied Arts, Other.</t>
  </si>
  <si>
    <t>50.0501: Drama and Dramatics/Theatre Arts, General.</t>
  </si>
  <si>
    <t>50.0502: Technical Theatre/Theatre Design and Technology.</t>
  </si>
  <si>
    <t>50.0504: Playwriting and Screenwriting.</t>
  </si>
  <si>
    <t>50.0505: Theatre Literature, History and Criticism.</t>
  </si>
  <si>
    <t>50.0506: Acting.</t>
  </si>
  <si>
    <t>50.0507: Directing and Theatrical Production.</t>
  </si>
  <si>
    <t>50.0509: Musical Theatre.</t>
  </si>
  <si>
    <t>50.0510: Costume Design.</t>
  </si>
  <si>
    <t>50.0511: Comedy Writing and Performance.</t>
  </si>
  <si>
    <t>50.0512: Theatre and Dance.</t>
  </si>
  <si>
    <t>50.0599: Dramatic/Theatre Arts and Stagecraft, Other.</t>
  </si>
  <si>
    <t>50.0601: Film/Cinema/Media Studies.</t>
  </si>
  <si>
    <t>50.0602: Cinematography and Film/Video Production.</t>
  </si>
  <si>
    <t>50.0605: Photography.</t>
  </si>
  <si>
    <t>50.0607: Documentary Production.</t>
  </si>
  <si>
    <t>50.0699: Film/Video and Photographic Arts, Other.</t>
  </si>
  <si>
    <t>50.0701: Art/Art Studies, General.</t>
  </si>
  <si>
    <t>50.0702: Fine/Studio Arts, General.</t>
  </si>
  <si>
    <t>50.0703: Art History, Criticism and Conservation.</t>
  </si>
  <si>
    <t>50.0705: Drawing.</t>
  </si>
  <si>
    <t>50.0706: Intermedia/Multimedia.</t>
  </si>
  <si>
    <t>50.0708: Painting.</t>
  </si>
  <si>
    <t>50.0709: Sculpture.</t>
  </si>
  <si>
    <t>50.0710: Printmaking.</t>
  </si>
  <si>
    <t>50.0711: Ceramic Arts and Ceramics.</t>
  </si>
  <si>
    <t>50.0712: Fiber, Textile and Weaving Arts.</t>
  </si>
  <si>
    <t>50.0713: Jewelry Arts.</t>
  </si>
  <si>
    <t>50.0714: Metal Arts.</t>
  </si>
  <si>
    <t>50.0799: Fine Arts and Art Studies, Other.</t>
  </si>
  <si>
    <t>50.0901: Music, General.</t>
  </si>
  <si>
    <t>50.0902: Music History, Literature, and Theory.</t>
  </si>
  <si>
    <t>50.0903: Music Performance, General.</t>
  </si>
  <si>
    <t>50.0904: Music Theory and Composition.</t>
  </si>
  <si>
    <t>50.0905: Musicology and Ethnomusicology.</t>
  </si>
  <si>
    <t>50.0906: Conducting.</t>
  </si>
  <si>
    <t>50.0907: Keyboard Instruments.</t>
  </si>
  <si>
    <t>50.0908: Voice and Opera.</t>
  </si>
  <si>
    <t>50.0910: Jazz/Jazz Studies.</t>
  </si>
  <si>
    <t>50.0911: Stringed Instruments.</t>
  </si>
  <si>
    <t>50.0912: Music Pedagogy.</t>
  </si>
  <si>
    <t>50.0913: Music Technology.</t>
  </si>
  <si>
    <t>50.0914: Brass Instruments.</t>
  </si>
  <si>
    <t>50.0915: Woodwind Instruments.</t>
  </si>
  <si>
    <t>50.0916: Percussion Instruments.</t>
  </si>
  <si>
    <t>50.0917: Sound Arts.</t>
  </si>
  <si>
    <t>50.0999: Music, Other.</t>
  </si>
  <si>
    <t>50.1001: Arts, Entertainment, and Media Management, General.</t>
  </si>
  <si>
    <t>50.1002: Fine and Studio Arts Management.</t>
  </si>
  <si>
    <t>50.1003: Music Management.</t>
  </si>
  <si>
    <t>50.1004: Theatre/Theatre Arts Management.</t>
  </si>
  <si>
    <t>50.1099: Arts, Entertainment, and Media Management, Other.</t>
  </si>
  <si>
    <t>50.1101: Community/Environmental/Socially-Engaged Art.</t>
  </si>
  <si>
    <t>50.9999: Visual and Performing Arts, Other.</t>
  </si>
  <si>
    <t>51.0000: Health Services/Allied Health/Health Sciences, General.</t>
  </si>
  <si>
    <t>51.0001: Health and Wellness, General.</t>
  </si>
  <si>
    <t>51.0101: Chiropractic.</t>
  </si>
  <si>
    <t>51.0201: Communication Sciences and Disorders, General.</t>
  </si>
  <si>
    <t>51.0202: Audiology/Audiologist.</t>
  </si>
  <si>
    <t>51.0203: Speech-Language Pathology/Pathologist.</t>
  </si>
  <si>
    <t>51.0204: Audiology/Audiologist and Speech-Language Pathology/Pathologist.</t>
  </si>
  <si>
    <t>51.0299: Communication Disorders Sciences and Services, Other.</t>
  </si>
  <si>
    <t>51.0401: Dentistry.</t>
  </si>
  <si>
    <t>51.0501: Dental Clinical Sciences, General.</t>
  </si>
  <si>
    <t>51.0502: Advanced General Dentistry.</t>
  </si>
  <si>
    <t>51.0503: Oral Biology and Oral and Maxillofacial Pathology.</t>
  </si>
  <si>
    <t>51.0504: Dental Public Health and Education.</t>
  </si>
  <si>
    <t>51.0505: Dental Materials.</t>
  </si>
  <si>
    <t>51.0506: Endodontics/Endodontology.</t>
  </si>
  <si>
    <t>51.0507: Oral/Maxillofacial Surgery.</t>
  </si>
  <si>
    <t>51.0508: Orthodontics/Orthodontology.</t>
  </si>
  <si>
    <t>51.0509: Pediatric Dentistry/Pedodontics.</t>
  </si>
  <si>
    <t>51.0510: Periodontics/Periodontology.</t>
  </si>
  <si>
    <t>51.0511: Prosthodontics/Prosthodontology.</t>
  </si>
  <si>
    <t>51.0512: Digital Dentistry.</t>
  </si>
  <si>
    <t>51.0513: Geriatric Dentistry.</t>
  </si>
  <si>
    <t>51.0514: Implantology/Implant Dentistry.</t>
  </si>
  <si>
    <t>51.0599: Advanced/Graduate Dentistry and Oral Sciences, Other.</t>
  </si>
  <si>
    <t>51.0601: Dental Assisting/Assistant.</t>
  </si>
  <si>
    <t>51.0602: Dental Hygiene/Hygienist.</t>
  </si>
  <si>
    <t>51.0603: Dental Laboratory Technology/Technician.</t>
  </si>
  <si>
    <t>51.0699: Dental Services and Allied Professions, Other.</t>
  </si>
  <si>
    <t>51.0701: Health/Health Care Administration/Management.</t>
  </si>
  <si>
    <t>51.0702: Hospital and Health Care Facilities Administration/Management.</t>
  </si>
  <si>
    <t>51.0703: Health Unit Coordinator/Ward Clerk.</t>
  </si>
  <si>
    <t>51.0704: Health Unit Manager/Ward Supervisor.</t>
  </si>
  <si>
    <t>51.0705: Medical Office Management/Administration.</t>
  </si>
  <si>
    <t>51.0706: Health Information/Medical Records Administration/Administrator.</t>
  </si>
  <si>
    <t>51.0707: Health Information/Medical Records Technology/Technician.</t>
  </si>
  <si>
    <t>51.0708: Medical Transcription/Transcriptionist.</t>
  </si>
  <si>
    <t>51.0709: Medical Office Computer Specialist/Assistant.</t>
  </si>
  <si>
    <t>51.0710: Medical Office Assistant/Specialist.</t>
  </si>
  <si>
    <t>51.0711: Medical/Health Management and Clinical Assistant/Specialist.</t>
  </si>
  <si>
    <t>51.0712: Medical Reception/Receptionist.</t>
  </si>
  <si>
    <t>51.0713: Medical Insurance Coding Specialist/Coder.</t>
  </si>
  <si>
    <t>51.0714: Medical Insurance Specialist/Medical Biller.</t>
  </si>
  <si>
    <t>51.0715: Health/Medical Claims Examiner.</t>
  </si>
  <si>
    <t>51.0716: Medical Administrative/Executive Assistant and Medical Secretary.</t>
  </si>
  <si>
    <t>51.0717: Medical Staff Services Technology/Technician.</t>
  </si>
  <si>
    <t>51.0718: Long Term Care Administration/Management.</t>
  </si>
  <si>
    <t>51.0719: Clinical Research Coordinator.</t>
  </si>
  <si>
    <t>51.0720: Regulatory Science/Affairs.</t>
  </si>
  <si>
    <t>51.0721: Disease Registry Data Management.</t>
  </si>
  <si>
    <t>51.0722: Healthcare Innovation.</t>
  </si>
  <si>
    <t>51.0723: Healthcare Information Privacy Assurance and Security.</t>
  </si>
  <si>
    <t>51.0799: Health and Medical Administrative Services, Other.</t>
  </si>
  <si>
    <t>51.0801: Medical/Clinical Assistant.</t>
  </si>
  <si>
    <t>51.0802: Clinical/Medical Laboratory Assistant.</t>
  </si>
  <si>
    <t>51.0803: Occupational Therapist Assistant.</t>
  </si>
  <si>
    <t>51.0805: Pharmacy Technician/Assistant.</t>
  </si>
  <si>
    <t>51.0806: Physical Therapy Assistant.</t>
  </si>
  <si>
    <t>01.8301: Veterinary/Animal Health Technology/Technician and Veterinary Assistant.</t>
  </si>
  <si>
    <t>51.0809: Anesthesiologist Assistant.</t>
  </si>
  <si>
    <t>51.0810: Emergency Care Attendant (EMT Ambulance).</t>
  </si>
  <si>
    <t>51.0811: Pathology/Pathologist Assistant.</t>
  </si>
  <si>
    <t>51.0812: Respiratory Therapy Technician/Assistant.</t>
  </si>
  <si>
    <t>51.0813: Chiropractic Technician/Assistant.</t>
  </si>
  <si>
    <t>51.0814: Radiologist Assistant.</t>
  </si>
  <si>
    <t>51.0815: Lactation Consultant.</t>
  </si>
  <si>
    <t>51.0816: Speech-Language Pathology Assistant.</t>
  </si>
  <si>
    <t>51.0817: Reserved.</t>
  </si>
  <si>
    <t>51.0899: Allied Health and Medical Assisting Services, Other.</t>
  </si>
  <si>
    <t>51.0901: Cardiovascular Technology/Technologist.</t>
  </si>
  <si>
    <t>51.0902: Electrocardiograph Technology/Technician.</t>
  </si>
  <si>
    <t>51.0903: Electroneurodiagnostic/Electroencephalographic Technology/Technologist.</t>
  </si>
  <si>
    <t>51.0904: Emergency Medical Technology/Technician (EMT Paramedic).</t>
  </si>
  <si>
    <t>51.0905: Nuclear Medical Technology/Technologist.</t>
  </si>
  <si>
    <t>51.0906: Perfusion Technology/Perfusionist.</t>
  </si>
  <si>
    <t>51.0907: Medical Radiologic Technology/Science - Radiation Therapist.</t>
  </si>
  <si>
    <t>51.0908: Respiratory Care Therapy/Therapist.</t>
  </si>
  <si>
    <t>51.0909: Surgical Technology/Technologist.</t>
  </si>
  <si>
    <t>51.0910: Diagnostic Medical Sonography/Sonographer and Ultrasound Technician.</t>
  </si>
  <si>
    <t>51.0911: Radiologic Technology/Science - Radiographer.</t>
  </si>
  <si>
    <t>51.0912: Physician Assistant.</t>
  </si>
  <si>
    <t>51.0913: Athletic Training/Trainer.</t>
  </si>
  <si>
    <t>51.0914: Gene/Genetic Therapy.</t>
  </si>
  <si>
    <t>51.0915: Cardiopulmonary Technology/Technologist.</t>
  </si>
  <si>
    <t>51.0916: Radiation Protection/Health Physics Technician.</t>
  </si>
  <si>
    <t>51.0917: Polysomnography.</t>
  </si>
  <si>
    <t>51.0918: Hearing Instrument Specialist.</t>
  </si>
  <si>
    <t>51.0919: Mammography Technology/Technician.</t>
  </si>
  <si>
    <t>51.0920: Magnetic Resonance Imaging (MRI) Technology/Technician.</t>
  </si>
  <si>
    <t>51.0921: Hyperbaric Medicine Technology/Technician.</t>
  </si>
  <si>
    <t>51.0922: Intraoperative Neuromonitoring Technology/Technician.</t>
  </si>
  <si>
    <t>51.0923: Orthopedic Technology/Technician.</t>
  </si>
  <si>
    <t>51.0924: Reserved.</t>
  </si>
  <si>
    <t>51.0999: Allied Health Diagnostic, Intervention, and Treatment Professions, Other.</t>
  </si>
  <si>
    <t>51.1001: Blood Bank Technology Specialist.</t>
  </si>
  <si>
    <t>51.1002: Cytotechnology/Cytotechnologist.</t>
  </si>
  <si>
    <t>51.1003: Hematology Technology/Technician.</t>
  </si>
  <si>
    <t>51.1004: Clinical/Medical Laboratory Technician.</t>
  </si>
  <si>
    <t>51.1005: Clinical Laboratory Science/Medical Technology/Technologist.</t>
  </si>
  <si>
    <t>51.1006: Ophthalmic Laboratory Technology/Technician.</t>
  </si>
  <si>
    <t>51.1007: Histologic Technology/Histotechnologist.</t>
  </si>
  <si>
    <t>51.1008: Histologic Technician.</t>
  </si>
  <si>
    <t>51.1009: Phlebotomy Technician/Phlebotomist.</t>
  </si>
  <si>
    <t>51.1010: Cytogenetics/Genetics/Clinical Genetics Technology/Technologist.</t>
  </si>
  <si>
    <t>51.1011: Renal/Dialysis Technologist/Technician.</t>
  </si>
  <si>
    <t>51.1012: Sterile Processing Technology/Technician.</t>
  </si>
  <si>
    <t>51.1099: Clinical/Medical Laboratory Science and Allied Professions, Other.</t>
  </si>
  <si>
    <t>51.1101: Pre-Dentistry Studies.</t>
  </si>
  <si>
    <t>51.1102: Pre-Medicine/Pre-Medical Studies.</t>
  </si>
  <si>
    <t>51.1103: Pre-Pharmacy Studies.</t>
  </si>
  <si>
    <t>01.1302: Pre-Veterinary Studies.</t>
  </si>
  <si>
    <t>51.1105: Pre-Nursing Studies.</t>
  </si>
  <si>
    <t>51.1106: Pre-Chiropractic Studies.</t>
  </si>
  <si>
    <t>51.1107: Pre-Occupational Therapy Studies.</t>
  </si>
  <si>
    <t>51.1108: Pre-Optometry Studies.</t>
  </si>
  <si>
    <t>51.1109: Pre-Physical Therapy Studies.</t>
  </si>
  <si>
    <t>51.1110: Pre-Art Therapy.</t>
  </si>
  <si>
    <t>51.1111: Pre-Physician Assistant.</t>
  </si>
  <si>
    <t>51.1199: Health/Medical Preparatory Programs, Other.</t>
  </si>
  <si>
    <t>51.1201: Medicine.</t>
  </si>
  <si>
    <t>51.1299: Medicine, Other.</t>
  </si>
  <si>
    <t>51.1401: Medical Science/Scientist.</t>
  </si>
  <si>
    <t>51.1402: Clinical and Translational Science.</t>
  </si>
  <si>
    <t>51.1403: Pain Management.</t>
  </si>
  <si>
    <t>51.1404: Temporomandibular Disorders and Orofacial Pain.</t>
  </si>
  <si>
    <t>51.1405: Tropical Medicine.</t>
  </si>
  <si>
    <t>51.1499: Medical Clinical Sciences/Graduate Medical Studies, Other.</t>
  </si>
  <si>
    <t>51.1501: Substance Abuse/Addiction Counseling.</t>
  </si>
  <si>
    <t>51.1502: Psychiatric/Mental Health Services Technician.</t>
  </si>
  <si>
    <t>51.1503: Clinical/Medical Social Work.</t>
  </si>
  <si>
    <t>51.1504: Community Health Services/Liaison/Counseling.</t>
  </si>
  <si>
    <t>51.1505: Marriage and Family Therapy/Counseling.</t>
  </si>
  <si>
    <t>51.1506: Clinical Pastoral Counseling/Patient Counseling.</t>
  </si>
  <si>
    <t>51.1507: Psychoanalysis and Psychotherapy.</t>
  </si>
  <si>
    <t>51.1508: Mental Health Counseling/Counselor.</t>
  </si>
  <si>
    <t>51.1509: Genetic Counseling/Counselor.</t>
  </si>
  <si>
    <t>51.1510: Infant/Toddler Mental Health Services.</t>
  </si>
  <si>
    <t>51.1511: Medical Family Therapy/Therapist.</t>
  </si>
  <si>
    <t>51.1512: Hospice and Palliative Care.</t>
  </si>
  <si>
    <t>51.1513: Trauma Counseling.</t>
  </si>
  <si>
    <t>51.1580: Reserved.</t>
  </si>
  <si>
    <t>51.1599: Mental and Social Health Services and Allied Professions, Other.</t>
  </si>
  <si>
    <t>51.1701: Optometry.</t>
  </si>
  <si>
    <t>51.1801: Opticianry/Ophthalmic Dispensing Optician.</t>
  </si>
  <si>
    <t>51.1802: Optometric Technician/Assistant.</t>
  </si>
  <si>
    <t>51.1803: Ophthalmic Technician/Technologist.</t>
  </si>
  <si>
    <t>51.1804: Orthoptics/Orthoptist.</t>
  </si>
  <si>
    <t>51.1899: Ophthalmic and Optometric Support Services and Allied Professions, Other.</t>
  </si>
  <si>
    <t>51.1202: Osteopathic Medicine/Osteopathy.</t>
  </si>
  <si>
    <t>51.2001: Pharmacy.</t>
  </si>
  <si>
    <t>51.2002: Pharmacy Administration and Pharmacy Policy and Regulatory Affairs.</t>
  </si>
  <si>
    <t>51.2003: Pharmaceutics and Drug Design.</t>
  </si>
  <si>
    <t>51.2004: Medicinal and Pharmaceutical Chemistry.</t>
  </si>
  <si>
    <t>51.2005: Natural Products Chemistry and Pharmacognosy.</t>
  </si>
  <si>
    <t>51.2006: Clinical and Industrial Drug Development.</t>
  </si>
  <si>
    <t>51.2007: Pharmacoeconomics/Pharmaceutical Economics.</t>
  </si>
  <si>
    <t>51.2008: Clinical, Hospital, and Managed Care Pharmacy.</t>
  </si>
  <si>
    <t>51.2009: Industrial and Physical Pharmacy and Cosmetic Sciences.</t>
  </si>
  <si>
    <t>51.2010: Pharmaceutical Sciences.</t>
  </si>
  <si>
    <t>51.2011: Pharmaceutical Marketing and Management.</t>
  </si>
  <si>
    <t>51.2099: Pharmacy, Pharmaceutical Sciences, and Administration, Other.</t>
  </si>
  <si>
    <t>51.1203: Podiatric Medicine/Podiatry.</t>
  </si>
  <si>
    <t>51.2201: Public Health, General.</t>
  </si>
  <si>
    <t>51.2202: Environmental Health.</t>
  </si>
  <si>
    <t>51.2205: Health/Medical  Physics.</t>
  </si>
  <si>
    <t>51.2206: Occupational Health and Industrial Hygiene.</t>
  </si>
  <si>
    <t>51.2207: Public Health Education and Promotion.</t>
  </si>
  <si>
    <t>51.2208: Community Health and Preventive Medicine.</t>
  </si>
  <si>
    <t>51.2209: Maternal and Child Health.</t>
  </si>
  <si>
    <t>51.2210: International Public Health/International Health.</t>
  </si>
  <si>
    <t>51.2211: Health Services Administration.</t>
  </si>
  <si>
    <t>51.2212: Behavioral Aspects of Health.</t>
  </si>
  <si>
    <t>51.2213: Patient Safety and Healthcare Quality.</t>
  </si>
  <si>
    <t>51.2214: Public Health Genetics.</t>
  </si>
  <si>
    <t>51.2280: Reserved.</t>
  </si>
  <si>
    <t>51.2299: Public Health, Other.</t>
  </si>
  <si>
    <t>51.2300: Rehabilitation and Therapeutic Professions, General.</t>
  </si>
  <si>
    <t>51.2301: Art Therapy/Therapist.</t>
  </si>
  <si>
    <t>51.2302: Dance Therapy/Therapist.</t>
  </si>
  <si>
    <t>51.2305: Music Therapy/Therapist.</t>
  </si>
  <si>
    <t>51.2306: Occupational Therapy/Therapist.</t>
  </si>
  <si>
    <t>51.2307: Orthotist/Prosthetist.</t>
  </si>
  <si>
    <t>51.2308: Physical Therapy/Therapist.</t>
  </si>
  <si>
    <t>51.2309: Therapeutic Recreation/Recreational Therapy.</t>
  </si>
  <si>
    <t>51.2310: Vocational Rehabilitation Counseling/Counselor.</t>
  </si>
  <si>
    <t>51.2311: Kinesiotherapy/Kinesiotherapist.</t>
  </si>
  <si>
    <t>51.2312: Assistive/Augmentative Technology and Rehabilitation Engineering.</t>
  </si>
  <si>
    <t>51.2313: Animal-Assisted Therapy.</t>
  </si>
  <si>
    <t>51.2314: Rehabilitation Science.</t>
  </si>
  <si>
    <t>51.2315: Drama Therapy/Therapist.</t>
  </si>
  <si>
    <t>51.2316: Horticulture Therapy/Therapist.</t>
  </si>
  <si>
    <t>51.2317: Play Therapy/Therapist.</t>
  </si>
  <si>
    <t>51.2399: Rehabilitation and Therapeutic Professions, Other.</t>
  </si>
  <si>
    <t>01.8001: Veterinary Medicine.</t>
  </si>
  <si>
    <t>01.8101: Veterinary Sciences/Veterinary Clinical Sciences, General.</t>
  </si>
  <si>
    <t>01.8105: Veterinary Anatomy.</t>
  </si>
  <si>
    <t>01.8109: Veterinary Physiology.</t>
  </si>
  <si>
    <t>01.8107: Veterinary Microbiology and Immunobiology.</t>
  </si>
  <si>
    <t>01.8108: Veterinary Pathology and Pathobiology.</t>
  </si>
  <si>
    <t>01.8111: Veterinary Toxicology and Pharmacology.</t>
  </si>
  <si>
    <t>01.8103: Large Animal/Food Animal and Equine Surgery and Medicine.</t>
  </si>
  <si>
    <t>01.8104: Small/Companion Animal Surgery and Medicine.</t>
  </si>
  <si>
    <t>01.8102: Comparative and Laboratory Animal Medicine.</t>
  </si>
  <si>
    <t>01.8110: Veterinary Preventive Medicine, Epidemiology, and Public Health.</t>
  </si>
  <si>
    <t>01.8106: Veterinary Infectious Diseases.</t>
  </si>
  <si>
    <t>01.8199: Veterinary Biomedical and Clinical Sciences, Other.</t>
  </si>
  <si>
    <t>51.2601: Health Aide.</t>
  </si>
  <si>
    <t>51.2602: Home Health Aide/Home Attendant.</t>
  </si>
  <si>
    <t>51.2603: Medication Aide.</t>
  </si>
  <si>
    <t>51.2604: Rehabilitation Aide.</t>
  </si>
  <si>
    <t>51.2605: Physical Therapy Technician/Aide.</t>
  </si>
  <si>
    <t>51.2699: Health Aides/Attendants/Orderlies, Other.</t>
  </si>
  <si>
    <t>51.2703: Medical Illustration/Medical Illustrator.</t>
  </si>
  <si>
    <t>51.2706: Medical Informatics.</t>
  </si>
  <si>
    <t>51.2799: Medical Illustration and Informatics, Other.</t>
  </si>
  <si>
    <t>51.3101: Dietetics/Dietitian.</t>
  </si>
  <si>
    <t>51.3102: Clinical Nutrition/Nutritionist.</t>
  </si>
  <si>
    <t>51.3103: Dietetic Technician.</t>
  </si>
  <si>
    <t>51.3104: Dietitian Assistant.</t>
  </si>
  <si>
    <t>51.3199: Dietetics and Clinical Nutrition Services, Other.</t>
  </si>
  <si>
    <t>51.3201: Bioethics/Medical Ethics.</t>
  </si>
  <si>
    <t>51.3202: Health Professions Education.</t>
  </si>
  <si>
    <t>51.3204: Medical/Health Humanities.</t>
  </si>
  <si>
    <t>51.3205: History of Medicine.</t>
  </si>
  <si>
    <t>51.3206: Arts in Medicine/Health.</t>
  </si>
  <si>
    <t>51.3299: Health Professions Education, Ethics, and Humanities, Other.</t>
  </si>
  <si>
    <t>51.3300: Alternative and Complementary Medicine and Medical Systems, General.</t>
  </si>
  <si>
    <t>51.3301: Acupuncture and Oriental Medicine.</t>
  </si>
  <si>
    <t>51.3302: Traditional Chinese Medicine and Chinese Herbology.</t>
  </si>
  <si>
    <t>51.3303: Naturopathic Medicine/Naturopathy.</t>
  </si>
  <si>
    <t>51.3304: Homeopathic Medicine/Homeopathy.</t>
  </si>
  <si>
    <t>51.3305: Ayurvedic Medicine/Ayurveda.</t>
  </si>
  <si>
    <t>51.3306: Holistic/Integrative Health.</t>
  </si>
  <si>
    <t>51.3399: Alternative and Complementary Medicine and Medical Systems, Other.</t>
  </si>
  <si>
    <t>51.3401: Direct Entry Midwifery.</t>
  </si>
  <si>
    <t>51.3499: Alternative and Complementary Medical Support Services, Other.</t>
  </si>
  <si>
    <t>51.3501: Massage Therapy/Therapeutic Massage.</t>
  </si>
  <si>
    <t>51.3502: Asian Bodywork Therapy.</t>
  </si>
  <si>
    <t>51.3503: Somatic Bodywork.</t>
  </si>
  <si>
    <t>51.3599: Somatic Bodywork and Related Therapeutic Services, Other.</t>
  </si>
  <si>
    <t>51.3601: Movement Therapy and Movement Education.</t>
  </si>
  <si>
    <t>51.3602: Yoga Teacher Training/Yoga Therapy.</t>
  </si>
  <si>
    <t>51.3603: Hypnotherapy/Hypnotherapist.</t>
  </si>
  <si>
    <t>51.3699: Movement and Mind-Body Therapies and Education, Other.</t>
  </si>
  <si>
    <t>51.3701: Aromatherapy.</t>
  </si>
  <si>
    <t>51.3702: Herbalism/Herbalist.</t>
  </si>
  <si>
    <t>51.3703: Polarity Therapy.</t>
  </si>
  <si>
    <t>51.3704: Reiki.</t>
  </si>
  <si>
    <t>51.3799: Energy and Biologically Based Therapies, Other.</t>
  </si>
  <si>
    <t>51.3801: Registered Nursing/Registered Nurse.</t>
  </si>
  <si>
    <t>51.3802: Nursing Administration.</t>
  </si>
  <si>
    <t>51.3803: Adult Health Nurse/Nursing.</t>
  </si>
  <si>
    <t>51.3804: Nurse Anesthetist.</t>
  </si>
  <si>
    <t>51.3805: Family Practice Nurse/Nursing.</t>
  </si>
  <si>
    <t>51.3806: Maternal/Child Health and Neonatal Nurse/Nursing.</t>
  </si>
  <si>
    <t>51.3807: Nurse Midwife/Nursing Midwifery.</t>
  </si>
  <si>
    <t>51.3808: Nursing Science.</t>
  </si>
  <si>
    <t>51.3809: Pediatric Nurse/Nursing.</t>
  </si>
  <si>
    <t>51.3810: Psychiatric/Mental Health Nurse/Nursing.</t>
  </si>
  <si>
    <t>51.3811: Public Health/Community Nurse/Nursing.</t>
  </si>
  <si>
    <t>51.3812: Perioperative/Operating Room and Surgical Nurse/Nursing.</t>
  </si>
  <si>
    <t>51.3813: Clinical Nurse Specialist.</t>
  </si>
  <si>
    <t>51.3814: Critical Care Nursing.</t>
  </si>
  <si>
    <t>51.3815: Occupational and Environmental Health Nursing.</t>
  </si>
  <si>
    <t>51.3816: Emergency Room/Trauma Nursing.</t>
  </si>
  <si>
    <t>51.3203: Nursing Education.</t>
  </si>
  <si>
    <t>51.3818: Nursing Practice.</t>
  </si>
  <si>
    <t>51.3819: Palliative Care Nursing.</t>
  </si>
  <si>
    <t>51.3820: Clinical Nurse Leader.</t>
  </si>
  <si>
    <t>51.3821: Geriatric Nurse/Nursing.</t>
  </si>
  <si>
    <t>51.3822: Women&amp;#39;s Health Nurse/Nursing.</t>
  </si>
  <si>
    <t>51.3823: Reserved.</t>
  </si>
  <si>
    <t>51.3824: Forensic Nursing.</t>
  </si>
  <si>
    <t>51.3899: Registered Nursing, Nursing Administration, Nursing Research and Clinical Nursing, Other.</t>
  </si>
  <si>
    <t>51.3901: Licensed Practical/Vocational Nurse Training.</t>
  </si>
  <si>
    <t>51.3902: Nursing Assistant/Aide and Patient Care Assistant/Aide.</t>
  </si>
  <si>
    <t>51.3999: Practical Nursing, Vocational Nursing and Nursing Assistants, Other.</t>
  </si>
  <si>
    <t>51.9980: Reserved.</t>
  </si>
  <si>
    <t>51.9999: Health Professions and Related Clinical Sciences, Other.</t>
  </si>
  <si>
    <t>52.0101: Business/Commerce, General.</t>
  </si>
  <si>
    <t>52.0201: Business Administration and Management, General.</t>
  </si>
  <si>
    <t>52.0202: Purchasing, Procurement/Acquisitions and Contracts Management.</t>
  </si>
  <si>
    <t>52.0203: Logistics, Materials, and Supply Chain Management.</t>
  </si>
  <si>
    <t>52.0204: Office Management and Supervision.</t>
  </si>
  <si>
    <t>52.0205: Operations Management and Supervision.</t>
  </si>
  <si>
    <t>52.0206: Non-Profit/Public/Organizational Management.</t>
  </si>
  <si>
    <t>52.0207: Customer Service Management.</t>
  </si>
  <si>
    <t>52.0208: E-Commerce/Electronic Commerce.</t>
  </si>
  <si>
    <t>52.0209: Transportation/Mobility Management.</t>
  </si>
  <si>
    <t>52.0210: Research and Development Management.</t>
  </si>
  <si>
    <t>52.0211: Project Management.</t>
  </si>
  <si>
    <t>52.0212: Retail Management.</t>
  </si>
  <si>
    <t>52.0213: Organizational Leadership.</t>
  </si>
  <si>
    <t>52.0214: Research Administration.</t>
  </si>
  <si>
    <t>52.0215: Risk Management.</t>
  </si>
  <si>
    <t>52.0216: Science/Technology Management.</t>
  </si>
  <si>
    <t>52.0299: Business Administration, Management and Operations, Other.</t>
  </si>
  <si>
    <t>52.0301: Accounting.</t>
  </si>
  <si>
    <t>52.0302: Accounting Technology/Technician and Bookkeeping.</t>
  </si>
  <si>
    <t>52.0303: Auditing.</t>
  </si>
  <si>
    <t>52.0304: Accounting and Finance.</t>
  </si>
  <si>
    <t>52.0305: Accounting and Business/Management.</t>
  </si>
  <si>
    <t>52.0399: Accounting and Related Services, Other.</t>
  </si>
  <si>
    <t>52.0401: Administrative Assistant and Secretarial Science, General.</t>
  </si>
  <si>
    <t>52.0402: Executive Assistant/Executive Secretary.</t>
  </si>
  <si>
    <t>52.0406: Receptionist.</t>
  </si>
  <si>
    <t>52.0407: Business/Office Automation/Technology/Data Entry.</t>
  </si>
  <si>
    <t>52.0408: General Office Occupations and Clerical Services.</t>
  </si>
  <si>
    <t>52.0409: Parts, Warehousing, and Inventory Management Operations.</t>
  </si>
  <si>
    <t>52.0410: Traffic, Customs, and Transportation Clerk/Technician.</t>
  </si>
  <si>
    <t>52.0411: Customer Service Support/Call Center/Teleservice Operation.</t>
  </si>
  <si>
    <t>52.0499: Business Operations Support and Secretarial Services, Other.</t>
  </si>
  <si>
    <t>52.0501: Business/Corporate Communications, General.</t>
  </si>
  <si>
    <t>52.0502: Grantsmanship.</t>
  </si>
  <si>
    <t>52.0599: Business/Corporate Communications, Other.</t>
  </si>
  <si>
    <t>52.0601: Business/Managerial Economics.</t>
  </si>
  <si>
    <t>52.0701: Entrepreneurship/Entrepreneurial Studies.</t>
  </si>
  <si>
    <t>52.0702: Franchising and Franchise Operations.</t>
  </si>
  <si>
    <t>52.0703: Small Business Administration/Management.</t>
  </si>
  <si>
    <t>52.0704: Social Entrepreneurship.</t>
  </si>
  <si>
    <t>52.0799: Entrepreneurial and Small Business Operations, Other.</t>
  </si>
  <si>
    <t>52.0801: Finance, General.</t>
  </si>
  <si>
    <t>52.0803: Banking and Financial Support Services.</t>
  </si>
  <si>
    <t>52.0804: Financial Planning and Services.</t>
  </si>
  <si>
    <t>52.0806: International Finance.</t>
  </si>
  <si>
    <t>52.0807: Investments and Securities.</t>
  </si>
  <si>
    <t>52.0808: Public Finance.</t>
  </si>
  <si>
    <t>52.0809: Credit Management.</t>
  </si>
  <si>
    <t>52.0810: Financial Risk Management.</t>
  </si>
  <si>
    <t>52.0899: Finance and Financial Management Services, Other.</t>
  </si>
  <si>
    <t>52.0901: Hospitality Administration/Management, General.</t>
  </si>
  <si>
    <t>52.0903: Tourism and Travel Services Management.</t>
  </si>
  <si>
    <t>52.0904: Hotel/Motel Administration/Management.</t>
  </si>
  <si>
    <t>52.0905: Restaurant/Food Services Management.</t>
  </si>
  <si>
    <t>52.0906: Resort Management.</t>
  </si>
  <si>
    <t>52.0907: Meeting and Event Planning.</t>
  </si>
  <si>
    <t>52.0908: Casino Management.</t>
  </si>
  <si>
    <t>52.0909: Hotel, Motel, and Restaurant Management.</t>
  </si>
  <si>
    <t>52.0910: Brewery/Brewpub Operations/Management.</t>
  </si>
  <si>
    <t>52.0999: Hospitality Administration/Management, Other.</t>
  </si>
  <si>
    <t>52.1001: Human Resources Management/Personnel Administration, General.</t>
  </si>
  <si>
    <t>52.1002: Labor and Industrial Relations.</t>
  </si>
  <si>
    <t>52.1003: Organizational Behavior Studies.</t>
  </si>
  <si>
    <t>52.1004: Labor Studies.</t>
  </si>
  <si>
    <t>52.1005: Human Resources Development.</t>
  </si>
  <si>
    <t>52.1006: Executive/Career Coaching.</t>
  </si>
  <si>
    <t>52.1099: Human Resources Management and Services, Other.</t>
  </si>
  <si>
    <t>52.1101: International Business/Trade/Commerce.</t>
  </si>
  <si>
    <t>52.1201: Management Information Systems, General.</t>
  </si>
  <si>
    <t>52.1206: Information Resources Management.</t>
  </si>
  <si>
    <t>52.1207: Knowledge Management.</t>
  </si>
  <si>
    <t>52.1299: Management Information Systems and Services, Other.</t>
  </si>
  <si>
    <t>52.1301: Management Science.</t>
  </si>
  <si>
    <t>52.1302: Business Statistics.</t>
  </si>
  <si>
    <t>52.1304: Actuarial Science.</t>
  </si>
  <si>
    <t>52.1399: Management Sciences and Quantitative Methods, Other.</t>
  </si>
  <si>
    <t>52.1401: Marketing/Marketing Management, General.</t>
  </si>
  <si>
    <t>52.1402: Marketing Research.</t>
  </si>
  <si>
    <t>52.1403: International Marketing.</t>
  </si>
  <si>
    <t>52.1404: Digital Marketing.</t>
  </si>
  <si>
    <t>52.1499: Marketing, Other.</t>
  </si>
  <si>
    <t>52.1501: Real Estate.</t>
  </si>
  <si>
    <t>52.1601: Taxation.</t>
  </si>
  <si>
    <t>52.1701: Insurance.</t>
  </si>
  <si>
    <t>52.1801: Sales, Distribution, and Marketing Operations, General.</t>
  </si>
  <si>
    <t>52.1802: Merchandising and Buying Operations.</t>
  </si>
  <si>
    <t>52.1803: Retailing and Retail Operations.</t>
  </si>
  <si>
    <t>52.1804: Selling Skills and Sales Operations.</t>
  </si>
  <si>
    <t>52.1880: Reserved.</t>
  </si>
  <si>
    <t>52.1899: General Merchandising, Sales, and Related Marketing Operations, Other.</t>
  </si>
  <si>
    <t>52.1901: Auctioneering.</t>
  </si>
  <si>
    <t>52.1902: Fashion Merchandising.</t>
  </si>
  <si>
    <t>52.1903: Fashion Modeling.</t>
  </si>
  <si>
    <t>52.1904: Apparel and Accessories Marketing Operations.</t>
  </si>
  <si>
    <t>52.1905: Tourism and Travel Services Marketing Operations.</t>
  </si>
  <si>
    <t>52.1906: Tourism Promotion Operations.</t>
  </si>
  <si>
    <t>52.1907: Vehicle and Vehicle Parts and Accessories Marketing Operations.</t>
  </si>
  <si>
    <t>52.1908: Business and Personal/Financial Services Marketing Operations.</t>
  </si>
  <si>
    <t>52.1909: Special Products Marketing Operations.</t>
  </si>
  <si>
    <t>52.1910: Hospitality and Recreation Marketing Operations.</t>
  </si>
  <si>
    <t>52.1980: Reserved.</t>
  </si>
  <si>
    <t>52.1999: Specialized Merchandising, Sales, and Marketing Operations, Other.</t>
  </si>
  <si>
    <t>52.2001: Construction Management, General.</t>
  </si>
  <si>
    <t>52.2002: Construction Project Management.</t>
  </si>
  <si>
    <t>52.2099: Construction Management, Other.</t>
  </si>
  <si>
    <t>52.2101: Telecommunications Management.</t>
  </si>
  <si>
    <t>52.9999: Business, Management, Marketing, and Related Support Services, Other.</t>
  </si>
  <si>
    <t>53.0101: Regular/General High School/Secondary Diploma Program.</t>
  </si>
  <si>
    <t>53.0102: College/University Preparatory and Advanced High School/Secondary Diploma Program.</t>
  </si>
  <si>
    <t>53.0103: Vocational High School and Secondary Business/Vocational-Industrial/Occupational Diploma Program.</t>
  </si>
  <si>
    <t>53.0104: Honors/Regents High School/Secondary Diploma Program.</t>
  </si>
  <si>
    <t>53.0105: Adult High School/Secondary Diploma Program.</t>
  </si>
  <si>
    <t>53.0199: High School/Secondary Diploma Programs, Other.</t>
  </si>
  <si>
    <t>53.0201: High School Equivalence Certificate Program.</t>
  </si>
  <si>
    <t>53.0202: High School Certificate of Competence Program.</t>
  </si>
  <si>
    <t>53.0203: Certificate of IEP Completion Program.</t>
  </si>
  <si>
    <t>53.0299: High School/Secondary Certificates, Other.</t>
  </si>
  <si>
    <t>54.0101: History, General.</t>
  </si>
  <si>
    <t>54.0102: American  History (United States).</t>
  </si>
  <si>
    <t>54.0103: European History.</t>
  </si>
  <si>
    <t>54.0104: History and Philosophy of Science and Technology.</t>
  </si>
  <si>
    <t>54.0105: Public/Applied History.</t>
  </si>
  <si>
    <t>54.0106: Asian History.</t>
  </si>
  <si>
    <t>54.0107: Canadian History.</t>
  </si>
  <si>
    <t>54.0108: Military History.</t>
  </si>
  <si>
    <t>54.0199: History, Other.</t>
  </si>
  <si>
    <t>55.0101: Reserved.</t>
  </si>
  <si>
    <t>55.1301: Reserved.</t>
  </si>
  <si>
    <t>55.1302: Reserved.</t>
  </si>
  <si>
    <t>55.1303: Reserved.</t>
  </si>
  <si>
    <t>55.1304: Reserved.</t>
  </si>
  <si>
    <t>55.1399: Reserved.</t>
  </si>
  <si>
    <t>55.1401: Reserved.</t>
  </si>
  <si>
    <t>55.1403: Reserved.</t>
  </si>
  <si>
    <t>55.1404: Reserved.</t>
  </si>
  <si>
    <t>55.1405: Reserved.</t>
  </si>
  <si>
    <t>55.1499: Reserved.</t>
  </si>
  <si>
    <t>55.9999: Reserved.</t>
  </si>
  <si>
    <t>60.0101: Oral and Maxillofacial Surgery Residency Program.</t>
  </si>
  <si>
    <t>60.0102: Dental Public Health Residency Program.</t>
  </si>
  <si>
    <t>60.0103: Endodontics Residency Program.</t>
  </si>
  <si>
    <t>60.0104: Oral and Maxillofacial Pathology Residency Program.</t>
  </si>
  <si>
    <t>60.0105: Orthodontics Residency Program.</t>
  </si>
  <si>
    <t>60.0106: Pediatric Dentistry Residency Program.</t>
  </si>
  <si>
    <t>60.0107: Periodontology Residency Program.</t>
  </si>
  <si>
    <t>60.0108: Prosthodontics Residency Program.</t>
  </si>
  <si>
    <t>60.0109: Oral and Maxillofacial Radiology Residency Program.</t>
  </si>
  <si>
    <t>60.0110: Implantology Fellowship Program.</t>
  </si>
  <si>
    <t>60.0199: Dental Residency/Fellowship Program, Other.</t>
  </si>
  <si>
    <t>60.0301: Veterinary Anesthesiology Residency Program.</t>
  </si>
  <si>
    <t>60.0302: Veterinary Dentistry Residency Program.</t>
  </si>
  <si>
    <t>60.0303: Veterinary Dermatology Residency Program.</t>
  </si>
  <si>
    <t>60.0304: Veterinary Emergency and Critical Care Medicine Residency Program.</t>
  </si>
  <si>
    <t>60.0305: Veterinary Internal Medicine Residency Program.</t>
  </si>
  <si>
    <t>60.0306: Laboratory Animal Medicine Residency Program.</t>
  </si>
  <si>
    <t>60.0307: Veterinary Microbiology Residency Program.</t>
  </si>
  <si>
    <t>60.0308: Veterinary Nutrition Residency Program.</t>
  </si>
  <si>
    <t>60.0309: Veterinary Ophthalmology Residency Program.</t>
  </si>
  <si>
    <t>60.0310: Veterinary Pathology Residency Program.</t>
  </si>
  <si>
    <t>60.0311: Veterinary Practice Residency Program.</t>
  </si>
  <si>
    <t>60.0312: Veterinary Preventive Medicine Residency Program.</t>
  </si>
  <si>
    <t>60.0313: Veterinary Radiology Residency Program.</t>
  </si>
  <si>
    <t>60.0314: Veterinary Surgery Residency Program.</t>
  </si>
  <si>
    <t>60.0315: Theriogenology Residency Program.</t>
  </si>
  <si>
    <t>60.0316: Veterinary Toxicology Residency Program.</t>
  </si>
  <si>
    <t>60.0317: Zoological Medicine Residency Program.</t>
  </si>
  <si>
    <t>60.0318: Poultry Veterinarian Residency Program.</t>
  </si>
  <si>
    <t>60.0319: Veterinary Behaviorist Residency Program.</t>
  </si>
  <si>
    <t>60.0320: Veterinary Clinical Pharmacology Residency Program.</t>
  </si>
  <si>
    <t>60.0399: Veterinary Residency/Fellowship Program, Other.</t>
  </si>
  <si>
    <t>61.2302: Aerospace Medicine Residency Program.</t>
  </si>
  <si>
    <t>61.0301: Allergy and Immunology Fellowship Program.</t>
  </si>
  <si>
    <t>61.0401: Anesthesiology Residency Program.</t>
  </si>
  <si>
    <t>61.1102: Child Neurology Residency Program.</t>
  </si>
  <si>
    <t>61.0901: Clinical Biochemical Genetics Residency Program.</t>
  </si>
  <si>
    <t>60.0406: Deleted, report under 61.0903</t>
  </si>
  <si>
    <t>61.0902: Clinical Genetics and Genomics Residency Program.</t>
  </si>
  <si>
    <t>60.0408: Deleted, report under 61.0903</t>
  </si>
  <si>
    <t>61.2702: Colon and Rectal Surgery Residency Program.</t>
  </si>
  <si>
    <t>61.0501: Dermatology Residency Program.</t>
  </si>
  <si>
    <t>61.2601: Diagnostic Radiology Residency Program.</t>
  </si>
  <si>
    <t>61.0601: Emergency Medicine Residency Program.</t>
  </si>
  <si>
    <t>61.0701: Family Medicine Residency Program.</t>
  </si>
  <si>
    <t>61.2701: General Surgery Residency Program.</t>
  </si>
  <si>
    <t>61.0801: Internal Medicine Residency Program.</t>
  </si>
  <si>
    <t>61.1001: Neurological Surgery Residency Program.</t>
  </si>
  <si>
    <t>61.1101: Neurology Residency Program.</t>
  </si>
  <si>
    <t>61.1201: Nuclear Medicine Residency Program.</t>
  </si>
  <si>
    <t>61.1301: Obstetrics and Gynecology Residency Program.</t>
  </si>
  <si>
    <t>61.2303: Occupational Medicine Residency Program.</t>
  </si>
  <si>
    <t>61.1401: Ophthalmology Residency Program.</t>
  </si>
  <si>
    <t>61.1501: Orthopedic Surgery Residency Program.</t>
  </si>
  <si>
    <t>61.1701: Otolaryngology Residency Program.</t>
  </si>
  <si>
    <t>61.1801: Combined Anatomic and Clinical Pathology Residency Program.</t>
  </si>
  <si>
    <t>61.1901: Pediatrics Residency Program.</t>
  </si>
  <si>
    <t>61.2001: Physical Medicine and Rehabilitation Residency Program.</t>
  </si>
  <si>
    <t>61.2101: Plastic Surgery Residency Program.</t>
  </si>
  <si>
    <t>61.2401: Psychiatry Residency Program.</t>
  </si>
  <si>
    <t>61.2301: Public Health and General Preventive Medicine Residency Program.</t>
  </si>
  <si>
    <t>61.2501: Radiation Oncology Residency Program.</t>
  </si>
  <si>
    <t>61.2610: Radiologic Physics Residency Program.</t>
  </si>
  <si>
    <t>61.2707: Thoracic Surgery Fellowship Program.</t>
  </si>
  <si>
    <t>61.2801: Urology Residency Program.</t>
  </si>
  <si>
    <t>61.2708: Vascular Surgery Fellowship Program.</t>
  </si>
  <si>
    <t>60.0499: Deleted, report under 61</t>
  </si>
  <si>
    <t>61.2402: Addiction Psychiatry Fellowship Program.</t>
  </si>
  <si>
    <t>61.1902: Adolescent Medicine Fellowship Program.</t>
  </si>
  <si>
    <t>61.1804: Blood Banking/Transfusion Medicine Fellowship Program.</t>
  </si>
  <si>
    <t>61.0804: Cardiovascular Disease Fellowship Program.</t>
  </si>
  <si>
    <t>61.1805: Chemical Pathology Fellowship Program.</t>
  </si>
  <si>
    <t>61.1903: Child Abuse Pediatrics Fellowship Program.</t>
  </si>
  <si>
    <t>61.2403: Child and Adolescent Psychiatry Fellowship Program.</t>
  </si>
  <si>
    <t>61.0805: Clinical Cardiac Electrophysiology Fellowship Program.</t>
  </si>
  <si>
    <t>61.1103: Clinical Neurophysiology Fellowship Program.</t>
  </si>
  <si>
    <t>61.2704: Congenital Cardiac Surgery Fellowship Program.</t>
  </si>
  <si>
    <t>61.0202: Critical Care Medicine Fellowship Program.</t>
  </si>
  <si>
    <t>61.1806: Cytopathology Fellowship Program.</t>
  </si>
  <si>
    <t>61.0502: Dermatopathology Fellowship Program.</t>
  </si>
  <si>
    <t>61.1904: Developmental-Behavioral Pediatrics Fellowship Program.</t>
  </si>
  <si>
    <t>61.2604: Diagnostic Radiologic Physics Residency Program.</t>
  </si>
  <si>
    <t>61.0806: Endocrinology, Diabetes, and Metabolism Fellowship Program.</t>
  </si>
  <si>
    <t>61.1807: Forensic Pathology Fellowship Program.</t>
  </si>
  <si>
    <t>61.2405: Forensic Psychiatry Fellowship Program.</t>
  </si>
  <si>
    <t>61.0807: Gastroenterology Fellowship Program.</t>
  </si>
  <si>
    <t>61.0203: Geriatric Medicine Fellowship Program.</t>
  </si>
  <si>
    <t>61.2406: Geriatric Psychiatry Fellowship Program.</t>
  </si>
  <si>
    <t>61.1302: Gynecologic Oncology Fellowship Program.</t>
  </si>
  <si>
    <t>61.1808: Hematological Pathology Fellowship Program.</t>
  </si>
  <si>
    <t>61.0808: Hematology Fellowship Program.</t>
  </si>
  <si>
    <t>61.0205: Hospice and Palliative Medicine Fellowship Program.</t>
  </si>
  <si>
    <t>61.1809: Immunopathology Fellowship Program.</t>
  </si>
  <si>
    <t>61.0810: Infectious Disease Fellowship Program.</t>
  </si>
  <si>
    <t>61.0811: Interventional Cardiology Fellowship Program.</t>
  </si>
  <si>
    <t>61.1810: Laboratory Medicine Fellowship Program.</t>
  </si>
  <si>
    <t>61.1303: Maternal and Fetal Medicine Fellowship Program.</t>
  </si>
  <si>
    <t>61.0904: Medical Biochemical Genetics Residency Program.</t>
  </si>
  <si>
    <t>61.1811: Medical Microbiology Fellowship Program.</t>
  </si>
  <si>
    <t>61.2605: Medical Nuclear Physics Residency Program.</t>
  </si>
  <si>
    <t>61.0813: Medical Oncology Fellowship Program.</t>
  </si>
  <si>
    <t>61.0208: Medical Toxicology Fellowship Program.</t>
  </si>
  <si>
    <t>61.1812: Molecular Genetic Pathology Fellowship Program.</t>
  </si>
  <si>
    <t>61.1502: Musculoskeletal Oncology Fellowship Program.</t>
  </si>
  <si>
    <t>61.1905: Neonatal-Perinatal Medicine Fellowship Program.</t>
  </si>
  <si>
    <t>61.0812: Nephrology Fellowship Program.</t>
  </si>
  <si>
    <t>61.1106: Neurodevelopmental Disabilities Fellowship Program.</t>
  </si>
  <si>
    <t>61.0209: Neuromuscular Medicine Fellowship Program.</t>
  </si>
  <si>
    <t>61.1813: Neuropathology Fellowship Program.</t>
  </si>
  <si>
    <t>61.2607: Neuroradiology Fellowship Program.</t>
  </si>
  <si>
    <t>61.1702: Neurotology Fellowship Program.</t>
  </si>
  <si>
    <t>61.2608: Nuclear Radiology Fellowship Program.</t>
  </si>
  <si>
    <t>61.1503: Orthopedic Sports Medicine Fellowship Program.</t>
  </si>
  <si>
    <t>61.1504: Orthopedic Surgery of the Spine Fellowship Program.</t>
  </si>
  <si>
    <t>61.0210: Pain Medicine Fellowship Program.</t>
  </si>
  <si>
    <t>61.1906: Pediatric Cardiology Fellowship Program.</t>
  </si>
  <si>
    <t>61.1907: Pediatric Critical Care Medicine Fellowship Program.</t>
  </si>
  <si>
    <t>61.0503: Pediatric Dermatology Fellowship Program.</t>
  </si>
  <si>
    <t>61.1908: Pediatric Emergency Medicine Fellowship Program.</t>
  </si>
  <si>
    <t>61.1909: Pediatric Endocrinology Fellowship Program.</t>
  </si>
  <si>
    <t>61.1910: Pediatric Gastroenterology Fellowship Program.</t>
  </si>
  <si>
    <t>61.1911: Pediatric Hematology-Oncology Fellowship Program.</t>
  </si>
  <si>
    <t>61.1912: Pediatric Infectious Diseases Fellowship Program.</t>
  </si>
  <si>
    <t>61.1913: Pediatric Nephrology Fellowship Program.</t>
  </si>
  <si>
    <t>61.1505: Pediatric Orthopedics Fellowship Program.</t>
  </si>
  <si>
    <t>61.1703: Pediatric Otolaryngology Fellowship Program.</t>
  </si>
  <si>
    <t>61.1814: Pediatric Pathology Fellowship Program.</t>
  </si>
  <si>
    <t>61.1914: Pediatric Pulmonology Fellowship Program.</t>
  </si>
  <si>
    <t>61.2609: Pediatric Radiology Fellowship Program.</t>
  </si>
  <si>
    <t>61.2003: Pediatric Rehabilitation Medicine Fellowship Program.</t>
  </si>
  <si>
    <t>61.1915: Pediatric Rheumatology Fellowship Program.</t>
  </si>
  <si>
    <t>61.2705: Pediatric Surgery Fellowship Program.</t>
  </si>
  <si>
    <t>61.1917: Pediatric Transplant Hepatology Fellowship Program.</t>
  </si>
  <si>
    <t>61.2802: Pediatric Urology Fellowship Program.</t>
  </si>
  <si>
    <t>60.0568: Deleted, report under 61.0199</t>
  </si>
  <si>
    <t>61.2103: Plastic Surgery Within the Head and Neck Fellowship Program.</t>
  </si>
  <si>
    <t>61.2404: Consultation-Liaison Psychiatry Fellowship Program.</t>
  </si>
  <si>
    <t>61.0814: Pulmonary Disease Fellowship Program.</t>
  </si>
  <si>
    <t>61.1815: Radioisotopic Pathology Fellowship Program.</t>
  </si>
  <si>
    <t>61.1304: Reproductive Endocrinology/Infertility Fellowship Program.</t>
  </si>
  <si>
    <t>61.0816: Rheumatology Fellowship Program.</t>
  </si>
  <si>
    <t>61.0212: Sleep Medicine Fellowship Program.</t>
  </si>
  <si>
    <t>61.2002: Spinal Cord Injury Medicine Fellowship Program.</t>
  </si>
  <si>
    <t>61.0213: Sports Medicine Fellowship Program.</t>
  </si>
  <si>
    <t>61.0214: Surgery of the Hand Fellowship Program.</t>
  </si>
  <si>
    <t>61.2706: Surgical Critical Care Fellowship Program.</t>
  </si>
  <si>
    <t>61.2611: Therapeutic Radiologic Physics Residency Program.</t>
  </si>
  <si>
    <t>61.0818: Transplant Hepatology Fellowship Program.</t>
  </si>
  <si>
    <t>61.0216: Undersea and Hyperbaric Medicine Fellowship Program.</t>
  </si>
  <si>
    <t>61.2612: Vascular and Interventional Radiology Fellowship Program.</t>
  </si>
  <si>
    <t>61.1107: Vascular Neurology Fellowship Program.</t>
  </si>
  <si>
    <t>60.0599: Deleted, report under 61</t>
  </si>
  <si>
    <t>60.0601: Deleted, report under 61.2201</t>
  </si>
  <si>
    <t>60.0602: Deleted, report under 61.2201</t>
  </si>
  <si>
    <t>NCES CIP 2020 to SOC 2018 Crosswalk</t>
  </si>
  <si>
    <t>2018 SOC Code</t>
  </si>
  <si>
    <t>2018 SOC Title</t>
  </si>
  <si>
    <t>19-1011</t>
  </si>
  <si>
    <t>Animal Scientists</t>
  </si>
  <si>
    <t>19-1012</t>
  </si>
  <si>
    <t>Food Scientists and Technologists</t>
  </si>
  <si>
    <t>19-1013</t>
  </si>
  <si>
    <t>Soil and Plant Scientists</t>
  </si>
  <si>
    <t>19-4012</t>
  </si>
  <si>
    <t>Agricultural Technicians</t>
  </si>
  <si>
    <t>25-1041</t>
  </si>
  <si>
    <t>Agricultural Sciences Teachers, Postsecondary</t>
  </si>
  <si>
    <t>11-9013</t>
  </si>
  <si>
    <t>Farmers, Ranchers, and Other Agricultural Managers</t>
  </si>
  <si>
    <t>45-1011</t>
  </si>
  <si>
    <t>First-Line Supervisors of Farming, Fishing, and Forestry Workers</t>
  </si>
  <si>
    <t>19-3011</t>
  </si>
  <si>
    <t>Economists</t>
  </si>
  <si>
    <t>25-1063</t>
  </si>
  <si>
    <t>Economics Teachers, Postsecondary</t>
  </si>
  <si>
    <t>25-9021</t>
  </si>
  <si>
    <t>Farm and Home Management Educators</t>
  </si>
  <si>
    <t>13-1021</t>
  </si>
  <si>
    <t>Buyers and Purchasing Agents, Farm Products</t>
  </si>
  <si>
    <t>41-4012</t>
  </si>
  <si>
    <t>Sales Representatives, Wholesale and Manufacturing, Except Technical and Scientific Products</t>
  </si>
  <si>
    <t>15-1232</t>
  </si>
  <si>
    <t>Computer User Support Specialists</t>
  </si>
  <si>
    <t>43-1011</t>
  </si>
  <si>
    <t>First-Line Supervisors of Office and Administrative Support Workers</t>
  </si>
  <si>
    <t>49-3041</t>
  </si>
  <si>
    <t>Farm Equipment Mechanics and Service Technicians</t>
  </si>
  <si>
    <t>45-2091</t>
  </si>
  <si>
    <t>Agricultural Equipment Operators</t>
  </si>
  <si>
    <t>49-3011</t>
  </si>
  <si>
    <t>Aircraft Mechanics and Service Technicians</t>
  </si>
  <si>
    <t>49-3042</t>
  </si>
  <si>
    <t>Mobile Heavy Equipment Mechanics, Except Engines</t>
  </si>
  <si>
    <t>01.0207</t>
  </si>
  <si>
    <t>25-1194</t>
  </si>
  <si>
    <t>Career/Technical Education Teachers, Postsecondary</t>
  </si>
  <si>
    <t>45-2021</t>
  </si>
  <si>
    <t>Animal Breeders</t>
  </si>
  <si>
    <t>19-1031</t>
  </si>
  <si>
    <t>Conservation Scientists</t>
  </si>
  <si>
    <t>25-1043</t>
  </si>
  <si>
    <t>Forestry and Conservation Science Teachers, Postsecondary</t>
  </si>
  <si>
    <t>01.0310</t>
  </si>
  <si>
    <t>45-2093</t>
  </si>
  <si>
    <t>Farmworkers, Farm, Ranch, and Aquacultural Animals</t>
  </si>
  <si>
    <t>19-4013</t>
  </si>
  <si>
    <t>Food Science Technicians</t>
  </si>
  <si>
    <t>45-2011</t>
  </si>
  <si>
    <t>Agricultural Inspectors</t>
  </si>
  <si>
    <t>39-2021</t>
  </si>
  <si>
    <t>Animal Caretakers</t>
  </si>
  <si>
    <t>39-2011</t>
  </si>
  <si>
    <t>Animal Trainers</t>
  </si>
  <si>
    <t>99-9999</t>
  </si>
  <si>
    <t>NO MATCH</t>
  </si>
  <si>
    <t>01.0509</t>
  </si>
  <si>
    <t>37-1012</t>
  </si>
  <si>
    <t>First-Line Supervisors of Landscaping, Lawn Service, and Groundskeeping Workers</t>
  </si>
  <si>
    <t>37-3011</t>
  </si>
  <si>
    <t>Landscaping and Groundskeeping Workers</t>
  </si>
  <si>
    <t>37-3012</t>
  </si>
  <si>
    <t>Pesticide Handlers, Sprayers, and Applicators, Vegetation</t>
  </si>
  <si>
    <t>45-4011</t>
  </si>
  <si>
    <t>Forest and Conservation Workers</t>
  </si>
  <si>
    <t>41-1011</t>
  </si>
  <si>
    <t>First-Line Supervisors of Retail Sales Workers</t>
  </si>
  <si>
    <t>01.0609</t>
  </si>
  <si>
    <t>01.0610</t>
  </si>
  <si>
    <t>27-3023</t>
  </si>
  <si>
    <t>News Analysts, Reporters, and Journalists</t>
  </si>
  <si>
    <t>27-4011</t>
  </si>
  <si>
    <t>Audio and Video Technicians</t>
  </si>
  <si>
    <t>01.1003</t>
  </si>
  <si>
    <t>51-3092</t>
  </si>
  <si>
    <t>Food Batchmakers</t>
  </si>
  <si>
    <t>51-9012</t>
  </si>
  <si>
    <t>Separating, Filtering, Clarifying, Precipitating, and Still Machine Setters, Operators, and Tenders</t>
  </si>
  <si>
    <t>01.1004</t>
  </si>
  <si>
    <t>01.1005</t>
  </si>
  <si>
    <t>19-1022</t>
  </si>
  <si>
    <t>Microbiologists</t>
  </si>
  <si>
    <t>01.1302</t>
  </si>
  <si>
    <t>01.1399</t>
  </si>
  <si>
    <t>01.8001</t>
  </si>
  <si>
    <t>25-1071</t>
  </si>
  <si>
    <t>Health Specialties Teachers, Postsecondary</t>
  </si>
  <si>
    <t>29-1131</t>
  </si>
  <si>
    <t>Veterinarians</t>
  </si>
  <si>
    <t>01.8101</t>
  </si>
  <si>
    <t>01.8102</t>
  </si>
  <si>
    <t>01.8103</t>
  </si>
  <si>
    <t>01.8104</t>
  </si>
  <si>
    <t>01.8105</t>
  </si>
  <si>
    <t>01.8106</t>
  </si>
  <si>
    <t>01.8107</t>
  </si>
  <si>
    <t>01.8108</t>
  </si>
  <si>
    <t>01.8109</t>
  </si>
  <si>
    <t>01.8110</t>
  </si>
  <si>
    <t>01.8111</t>
  </si>
  <si>
    <t>01.8199</t>
  </si>
  <si>
    <t>01.8201</t>
  </si>
  <si>
    <t>11-9111</t>
  </si>
  <si>
    <t>Medical and Health Services Managers</t>
  </si>
  <si>
    <t>43-6013</t>
  </si>
  <si>
    <t>Medical Secretaries and Administrative Assistants</t>
  </si>
  <si>
    <t>01.8202</t>
  </si>
  <si>
    <t>11-1021</t>
  </si>
  <si>
    <t>General and Operations Managers</t>
  </si>
  <si>
    <t>11-3012</t>
  </si>
  <si>
    <t>Administrative Services Managers</t>
  </si>
  <si>
    <t>01.8203</t>
  </si>
  <si>
    <t>43-4171</t>
  </si>
  <si>
    <t>Receptionists and Information Clerks</t>
  </si>
  <si>
    <t>01.8204</t>
  </si>
  <si>
    <t>01.8299</t>
  </si>
  <si>
    <t>01.8301</t>
  </si>
  <si>
    <t>29-2056</t>
  </si>
  <si>
    <t>Veterinary Technologists and Technicians</t>
  </si>
  <si>
    <t>31-9096</t>
  </si>
  <si>
    <t>Veterinary Assistants and Laboratory Animal Caretakers</t>
  </si>
  <si>
    <t>01.8399</t>
  </si>
  <si>
    <t>19-1032</t>
  </si>
  <si>
    <t>Foresters</t>
  </si>
  <si>
    <t>19-4071</t>
  </si>
  <si>
    <t>Forest and Conservation Technicians</t>
  </si>
  <si>
    <t>13-1041</t>
  </si>
  <si>
    <t>Compliance Officers</t>
  </si>
  <si>
    <t>19-2041</t>
  </si>
  <si>
    <t>Environmental Scientists and Specialists, Including Health</t>
  </si>
  <si>
    <t>25-1053</t>
  </si>
  <si>
    <t>Environmental Science Teachers, Postsecondary</t>
  </si>
  <si>
    <t>19-4042</t>
  </si>
  <si>
    <t>Environmental Science and Protection Technicians, Including Health</t>
  </si>
  <si>
    <t>11-9199</t>
  </si>
  <si>
    <t>Managers, All Other</t>
  </si>
  <si>
    <t>19-4061</t>
  </si>
  <si>
    <t>Social Science Research Assistants</t>
  </si>
  <si>
    <t>11-9072</t>
  </si>
  <si>
    <t>Entertainment and Recreation Managers, Except Gambling</t>
  </si>
  <si>
    <t>25-1111</t>
  </si>
  <si>
    <t>Criminal Justice and Law Enforcement Teachers, Postsecondary</t>
  </si>
  <si>
    <t>33-1012</t>
  </si>
  <si>
    <t>First-Line Supervisors of Police and Detectives</t>
  </si>
  <si>
    <t>33-1021</t>
  </si>
  <si>
    <t>First-Line Supervisors of Firefighting and Prevention Workers</t>
  </si>
  <si>
    <t>33-2011</t>
  </si>
  <si>
    <t>Firefighters</t>
  </si>
  <si>
    <t>33-2022</t>
  </si>
  <si>
    <t>Forest Fire Inspectors and Prevention Specialists</t>
  </si>
  <si>
    <t>33-3021</t>
  </si>
  <si>
    <t>Detectives and Criminal Investigators</t>
  </si>
  <si>
    <t>33-3031</t>
  </si>
  <si>
    <t>Fish and Game Wardens</t>
  </si>
  <si>
    <t>33-3051</t>
  </si>
  <si>
    <t>Police and Sheriff’s Patrol Officers</t>
  </si>
  <si>
    <t>33-9092</t>
  </si>
  <si>
    <t>Lifeguards, Ski Patrol, and Other Recreational Protective Service Workers</t>
  </si>
  <si>
    <t>03.0209</t>
  </si>
  <si>
    <t>19-3099</t>
  </si>
  <si>
    <t>Social Scientists and Related Workers, All Other</t>
  </si>
  <si>
    <t>03.0210</t>
  </si>
  <si>
    <t>45-3031</t>
  </si>
  <si>
    <t>Fishing and Hunting Workers</t>
  </si>
  <si>
    <t>19-1023</t>
  </si>
  <si>
    <t>Zoologists and Wildlife Biologists</t>
  </si>
  <si>
    <t>04.0200</t>
  </si>
  <si>
    <t>11-9041</t>
  </si>
  <si>
    <t>Architectural and Engineering Managers</t>
  </si>
  <si>
    <t>17-1011</t>
  </si>
  <si>
    <t>Architects, Except Landscape and Naval</t>
  </si>
  <si>
    <t>25-1031</t>
  </si>
  <si>
    <t>Architecture Teachers, Postsecondary</t>
  </si>
  <si>
    <t>04.0202</t>
  </si>
  <si>
    <t>04.0299</t>
  </si>
  <si>
    <t>19-3051</t>
  </si>
  <si>
    <t>Urban and Regional Planners</t>
  </si>
  <si>
    <t>25-1069</t>
  </si>
  <si>
    <t>Social Sciences Teachers, Postsecondary, All Other</t>
  </si>
  <si>
    <t>17-1012</t>
  </si>
  <si>
    <t>Landscape Architects</t>
  </si>
  <si>
    <t>04.0402</t>
  </si>
  <si>
    <t>27-1025</t>
  </si>
  <si>
    <t>Interior Designers</t>
  </si>
  <si>
    <t>04.0403</t>
  </si>
  <si>
    <t>04.0499</t>
  </si>
  <si>
    <t>19-3093</t>
  </si>
  <si>
    <t>Historians</t>
  </si>
  <si>
    <t>04.0802</t>
  </si>
  <si>
    <t>04.0803</t>
  </si>
  <si>
    <t>04.0899</t>
  </si>
  <si>
    <t>17-3011</t>
  </si>
  <si>
    <t>Architectural and Civil Drafters</t>
  </si>
  <si>
    <t>11-9141</t>
  </si>
  <si>
    <t>Property, Real Estate, and Community Association Managers</t>
  </si>
  <si>
    <t>13-2023</t>
  </si>
  <si>
    <t>Appraisers and Assessors of Real Estate</t>
  </si>
  <si>
    <t>41-9021</t>
  </si>
  <si>
    <t>Real Estate Brokers</t>
  </si>
  <si>
    <t>41-9022</t>
  </si>
  <si>
    <t>Real Estate Sales Agents</t>
  </si>
  <si>
    <t>25-1062</t>
  </si>
  <si>
    <t>Area, Ethnic, and Cultural Studies Teachers, Postsecondary</t>
  </si>
  <si>
    <t>05.0135</t>
  </si>
  <si>
    <t>05.0136</t>
  </si>
  <si>
    <t>Women's Studies.</t>
  </si>
  <si>
    <t>27-3091</t>
  </si>
  <si>
    <t>Interpreters and Translators</t>
  </si>
  <si>
    <t>05.0212</t>
  </si>
  <si>
    <t>05.9999</t>
  </si>
  <si>
    <t>11-2032</t>
  </si>
  <si>
    <t>Public Relations Managers</t>
  </si>
  <si>
    <t>11-2033</t>
  </si>
  <si>
    <t>Fundraising Managers</t>
  </si>
  <si>
    <t>13-1131</t>
  </si>
  <si>
    <t>Fundraisers</t>
  </si>
  <si>
    <t>25-1122</t>
  </si>
  <si>
    <t>Communications Teachers, Postsecondary</t>
  </si>
  <si>
    <t>27-3011</t>
  </si>
  <si>
    <t>Broadcast Announcers and Radio Disc Jockeys</t>
  </si>
  <si>
    <t>27-3031</t>
  </si>
  <si>
    <t>Public Relations Specialists</t>
  </si>
  <si>
    <t>27-3041</t>
  </si>
  <si>
    <t>Editors</t>
  </si>
  <si>
    <t>27-3043</t>
  </si>
  <si>
    <t>Writers and Authors</t>
  </si>
  <si>
    <t>27-3099</t>
  </si>
  <si>
    <t>Media and Communication Workers, All Other</t>
  </si>
  <si>
    <t>43-9081</t>
  </si>
  <si>
    <t>Proofreaders and Copy Markers</t>
  </si>
  <si>
    <t>27-4021</t>
  </si>
  <si>
    <t>Photographers</t>
  </si>
  <si>
    <t>27-4032</t>
  </si>
  <si>
    <t>Film and Video Editors</t>
  </si>
  <si>
    <t>09.0405</t>
  </si>
  <si>
    <t>09.0406</t>
  </si>
  <si>
    <t>09.0407</t>
  </si>
  <si>
    <t>27-2012</t>
  </si>
  <si>
    <t>Producers and Directors</t>
  </si>
  <si>
    <t>15-1255</t>
  </si>
  <si>
    <t>Web and Digital Interface Designers</t>
  </si>
  <si>
    <t>11-2011</t>
  </si>
  <si>
    <t>Advertising and Promotions Managers</t>
  </si>
  <si>
    <t>11-3121</t>
  </si>
  <si>
    <t>Human Resources Managers</t>
  </si>
  <si>
    <t>11-3131</t>
  </si>
  <si>
    <t>Training and Development Managers</t>
  </si>
  <si>
    <t>13-1151</t>
  </si>
  <si>
    <t>Training and Development Specialists</t>
  </si>
  <si>
    <t>21-1091</t>
  </si>
  <si>
    <t>Health Education Specialists</t>
  </si>
  <si>
    <t>21-1094</t>
  </si>
  <si>
    <t>Community Health Workers</t>
  </si>
  <si>
    <t>13-1011</t>
  </si>
  <si>
    <t>Agents and Business Managers of Artists, Performers, and Athletes</t>
  </si>
  <si>
    <t>27-2099</t>
  </si>
  <si>
    <t>Entertainers and Performers, Sports and Related Workers, All Other</t>
  </si>
  <si>
    <t>27-3042</t>
  </si>
  <si>
    <t>Technical Writers</t>
  </si>
  <si>
    <t>09.0909</t>
  </si>
  <si>
    <t>27-4012</t>
  </si>
  <si>
    <t>Broadcast Technicians</t>
  </si>
  <si>
    <t>27-4014</t>
  </si>
  <si>
    <t>Sound Engineering Technicians</t>
  </si>
  <si>
    <t>27-4015</t>
  </si>
  <si>
    <t>Lighting Technicians</t>
  </si>
  <si>
    <t>27-4031</t>
  </si>
  <si>
    <t>Camera Operators, Television, Video, and Film</t>
  </si>
  <si>
    <t>27-2091</t>
  </si>
  <si>
    <t>Disc Jockeys, Except Radio</t>
  </si>
  <si>
    <t>10.0204</t>
  </si>
  <si>
    <t>27-3092</t>
  </si>
  <si>
    <t>Court Reporters and Simultaneous Captioners</t>
  </si>
  <si>
    <t>51-5111</t>
  </si>
  <si>
    <t>Prepress Technicians and Workers</t>
  </si>
  <si>
    <t>51-5112</t>
  </si>
  <si>
    <t>Printing Press Operators</t>
  </si>
  <si>
    <t>43-9031</t>
  </si>
  <si>
    <t>Desktop Publishers</t>
  </si>
  <si>
    <t>27-1014</t>
  </si>
  <si>
    <t>Special Effects Artists and Animators</t>
  </si>
  <si>
    <t>43-9021</t>
  </si>
  <si>
    <t>Data Entry Keyers</t>
  </si>
  <si>
    <t>51-9194</t>
  </si>
  <si>
    <t>Etchers and Engravers</t>
  </si>
  <si>
    <t>11-3021</t>
  </si>
  <si>
    <t>Computer and Information Systems Managers</t>
  </si>
  <si>
    <t>15-1211</t>
  </si>
  <si>
    <t>Computer Systems Analysts</t>
  </si>
  <si>
    <t>15-1221</t>
  </si>
  <si>
    <t>Computer and Information Research Scientists</t>
  </si>
  <si>
    <t>15-1241</t>
  </si>
  <si>
    <t>Computer Network Architects</t>
  </si>
  <si>
    <t>15-1242</t>
  </si>
  <si>
    <t>Database Administrators</t>
  </si>
  <si>
    <t>15-1243</t>
  </si>
  <si>
    <t>Database Architects</t>
  </si>
  <si>
    <t>15-1244</t>
  </si>
  <si>
    <t>Network and Computer Systems Administrators</t>
  </si>
  <si>
    <t>15-1253</t>
  </si>
  <si>
    <t>Software Quality Assurance Analysts and Testers</t>
  </si>
  <si>
    <t>15-1299</t>
  </si>
  <si>
    <t>Computer Occupations, All Other</t>
  </si>
  <si>
    <t>25-1021</t>
  </si>
  <si>
    <t>Computer Science Teachers, Postsecondary</t>
  </si>
  <si>
    <t>15-1252</t>
  </si>
  <si>
    <t>Software Developers</t>
  </si>
  <si>
    <t>15-2051</t>
  </si>
  <si>
    <t>Data Scientists</t>
  </si>
  <si>
    <t>15-1212</t>
  </si>
  <si>
    <t>Information Security Analysts</t>
  </si>
  <si>
    <t>11.0105</t>
  </si>
  <si>
    <t>15-1231</t>
  </si>
  <si>
    <t>Computer Network Support Specialists</t>
  </si>
  <si>
    <t>15-1251</t>
  </si>
  <si>
    <t>Computer Programmers</t>
  </si>
  <si>
    <t>15-1254</t>
  </si>
  <si>
    <t>Web Developers</t>
  </si>
  <si>
    <t>11.0204</t>
  </si>
  <si>
    <t>11.0205</t>
  </si>
  <si>
    <t>43-9022</t>
  </si>
  <si>
    <t>Word Processors and Typists</t>
  </si>
  <si>
    <t>27-1024</t>
  </si>
  <si>
    <t>Graphic Designers</t>
  </si>
  <si>
    <t>11.0902</t>
  </si>
  <si>
    <t>11.0999</t>
  </si>
  <si>
    <t>13-1082</t>
  </si>
  <si>
    <t>Project Management Specialists</t>
  </si>
  <si>
    <t>11-9171</t>
  </si>
  <si>
    <t>Funeral Home Managers</t>
  </si>
  <si>
    <t>39-4011</t>
  </si>
  <si>
    <t>Embalmers</t>
  </si>
  <si>
    <t>39-4031</t>
  </si>
  <si>
    <t>Morticians, Undertakers, and Funeral Arrangers</t>
  </si>
  <si>
    <t>39-4012</t>
  </si>
  <si>
    <t>Crematory Operators</t>
  </si>
  <si>
    <t>39-5012</t>
  </si>
  <si>
    <t>Hairdressers, Hairstylists, and Cosmetologists</t>
  </si>
  <si>
    <t>39-5091</t>
  </si>
  <si>
    <t>Makeup Artists, Theatrical and Performance</t>
  </si>
  <si>
    <t>39-5092</t>
  </si>
  <si>
    <t>Manicurists and Pedicurists</t>
  </si>
  <si>
    <t>39-5093</t>
  </si>
  <si>
    <t>Shampooers</t>
  </si>
  <si>
    <t>39-5094</t>
  </si>
  <si>
    <t>Skincare Specialists</t>
  </si>
  <si>
    <t>39-5011</t>
  </si>
  <si>
    <t>Barbers</t>
  </si>
  <si>
    <t>11-9179</t>
  </si>
  <si>
    <t>Personal Service Managers, All Other</t>
  </si>
  <si>
    <t>39-1022</t>
  </si>
  <si>
    <t>First-Line Supervisors of Personal Service Workers</t>
  </si>
  <si>
    <t>35-1011</t>
  </si>
  <si>
    <t>Chefs and Head Cooks</t>
  </si>
  <si>
    <t>35-1012</t>
  </si>
  <si>
    <t>First-Line Supervisors of Food Preparation and Serving Workers</t>
  </si>
  <si>
    <t>35-2012</t>
  </si>
  <si>
    <t>Cooks, Institution and Cafeteria</t>
  </si>
  <si>
    <t>35-2014</t>
  </si>
  <si>
    <t>Cooks, Restaurant</t>
  </si>
  <si>
    <t>35-2019</t>
  </si>
  <si>
    <t>Cooks, All Other</t>
  </si>
  <si>
    <t>51-3011</t>
  </si>
  <si>
    <t>Bakers</t>
  </si>
  <si>
    <t>35-3011</t>
  </si>
  <si>
    <t>Bartenders</t>
  </si>
  <si>
    <t>35-2013</t>
  </si>
  <si>
    <t>Cooks, Private Household</t>
  </si>
  <si>
    <t>11-9051</t>
  </si>
  <si>
    <t>Food Service Managers</t>
  </si>
  <si>
    <t>51-3021</t>
  </si>
  <si>
    <t>Butchers and Meat Cutters</t>
  </si>
  <si>
    <t>51-3023</t>
  </si>
  <si>
    <t>Slaughterers and Meat Packers</t>
  </si>
  <si>
    <t>25-1199</t>
  </si>
  <si>
    <t>Postsecondary Teachers, All Other</t>
  </si>
  <si>
    <t>13-1022</t>
  </si>
  <si>
    <t>Wholesale and Retail Buyers, Except Farm Products</t>
  </si>
  <si>
    <t>12.0601</t>
  </si>
  <si>
    <t>33-9031</t>
  </si>
  <si>
    <t>Gambling Surveillance Officers and Gambling Investigators</t>
  </si>
  <si>
    <t>39-1013</t>
  </si>
  <si>
    <t>First-Line Supervisors of Gambling Services Workers</t>
  </si>
  <si>
    <t>43-3041</t>
  </si>
  <si>
    <t>Gambling Cage Workers</t>
  </si>
  <si>
    <t>12.0602</t>
  </si>
  <si>
    <t>39-3011</t>
  </si>
  <si>
    <t>Gambling Dealers</t>
  </si>
  <si>
    <t>12.0699</t>
  </si>
  <si>
    <t>39-6012</t>
  </si>
  <si>
    <t>Concierges</t>
  </si>
  <si>
    <t>25-1081</t>
  </si>
  <si>
    <t>Education Teachers, Postsecondary</t>
  </si>
  <si>
    <t>25-9042</t>
  </si>
  <si>
    <t>Teaching Assistants, Preschool, Elementary, Middle, and Secondary School, Except Special Education</t>
  </si>
  <si>
    <t>25-9043</t>
  </si>
  <si>
    <t>Teaching Assistants, Special Education</t>
  </si>
  <si>
    <t>25-2011</t>
  </si>
  <si>
    <t>Preschool Teachers, Except Special Education</t>
  </si>
  <si>
    <t>25-2012</t>
  </si>
  <si>
    <t>Kindergarten Teachers, Except Special Education</t>
  </si>
  <si>
    <t>25-2021</t>
  </si>
  <si>
    <t>Elementary School Teachers, Except Special Education</t>
  </si>
  <si>
    <t>25-2022</t>
  </si>
  <si>
    <t>Middle School Teachers, Except Special and Career/Technical Education</t>
  </si>
  <si>
    <t>25-2031</t>
  </si>
  <si>
    <t>Secondary School Teachers, Except Special and Career/Technical Education</t>
  </si>
  <si>
    <t>25-3011</t>
  </si>
  <si>
    <t>Adult Basic Education, Adult Secondary Education, and English as a Second Language Instructors</t>
  </si>
  <si>
    <t>25-3099</t>
  </si>
  <si>
    <t>Teachers and Instructors, All Other</t>
  </si>
  <si>
    <t>25-9031</t>
  </si>
  <si>
    <t>Instructional Coordinators</t>
  </si>
  <si>
    <t>11-9031</t>
  </si>
  <si>
    <t>Education and Childcare Administrators, Preschool and Daycare</t>
  </si>
  <si>
    <t>11-9032</t>
  </si>
  <si>
    <t>Education Administrators, Kindergarten through Secondary</t>
  </si>
  <si>
    <t>11-9033</t>
  </si>
  <si>
    <t>Education Administrators, Postsecondary</t>
  </si>
  <si>
    <t>11-9039</t>
  </si>
  <si>
    <t>Education Administrators, All Other</t>
  </si>
  <si>
    <t>13.0412</t>
  </si>
  <si>
    <t>13.0413</t>
  </si>
  <si>
    <t>13.0414</t>
  </si>
  <si>
    <t>25-4022</t>
  </si>
  <si>
    <t>Librarians and Media Collections Specialists</t>
  </si>
  <si>
    <t>13-1111</t>
  </si>
  <si>
    <t>Management Analysts</t>
  </si>
  <si>
    <t>15-2041</t>
  </si>
  <si>
    <t>Statisticians</t>
  </si>
  <si>
    <t>25-9099</t>
  </si>
  <si>
    <t>Educational Instruction and Library Workers, All Other</t>
  </si>
  <si>
    <t>13.0608</t>
  </si>
  <si>
    <t>19-3022</t>
  </si>
  <si>
    <t>Survey Researchers</t>
  </si>
  <si>
    <t>25-2051</t>
  </si>
  <si>
    <t>Special Education Teachers, Preschool</t>
  </si>
  <si>
    <t>25-2055</t>
  </si>
  <si>
    <t>Special Education Teachers, Kindergarten</t>
  </si>
  <si>
    <t>25-2056</t>
  </si>
  <si>
    <t>Special Education Teachers, Elementary School</t>
  </si>
  <si>
    <t>25-2057</t>
  </si>
  <si>
    <t>Special Education Teachers, Middle School</t>
  </si>
  <si>
    <t>25-2058</t>
  </si>
  <si>
    <t>Special Education Teachers, Secondary School</t>
  </si>
  <si>
    <t>25-2059</t>
  </si>
  <si>
    <t>Special Education Teachers, All Other</t>
  </si>
  <si>
    <t>21-1012</t>
  </si>
  <si>
    <t>Educational, Guidance, and Career Counselors and Advisors</t>
  </si>
  <si>
    <t>39-9041</t>
  </si>
  <si>
    <t>Residential Advisors</t>
  </si>
  <si>
    <t>25-3021</t>
  </si>
  <si>
    <t>Self-Enrichment Teachers</t>
  </si>
  <si>
    <t>13.1211</t>
  </si>
  <si>
    <t>13.1212</t>
  </si>
  <si>
    <t>13.1213</t>
  </si>
  <si>
    <t>13.1214</t>
  </si>
  <si>
    <t>25-2023</t>
  </si>
  <si>
    <t>Career/Technical Education Teachers, Middle School</t>
  </si>
  <si>
    <t>25-2032</t>
  </si>
  <si>
    <t>Career/Technical Education Teachers, Secondary School</t>
  </si>
  <si>
    <t>25-1121</t>
  </si>
  <si>
    <t>Art, Drama, and Music Teachers, Postsecondary</t>
  </si>
  <si>
    <t>25-1011</t>
  </si>
  <si>
    <t>Business Teachers, Postsecondary</t>
  </si>
  <si>
    <t>25-1123</t>
  </si>
  <si>
    <t>English Language and Literature Teachers, Postsecondary</t>
  </si>
  <si>
    <t>25-1124</t>
  </si>
  <si>
    <t>Foreign Language and Literature Teachers, Postsecondary</t>
  </si>
  <si>
    <t>25-1192</t>
  </si>
  <si>
    <t>Family and Consumer Sciences Teachers, Postsecondary</t>
  </si>
  <si>
    <t>25-1022</t>
  </si>
  <si>
    <t>Mathematical Science Teachers, Postsecondary</t>
  </si>
  <si>
    <t>25-1193</t>
  </si>
  <si>
    <t>Recreation and Fitness Studies Teachers, Postsecondary</t>
  </si>
  <si>
    <t>27-2022</t>
  </si>
  <si>
    <t>Coaches and Scouts</t>
  </si>
  <si>
    <t>39-9031</t>
  </si>
  <si>
    <t>Exercise Trainers and Group Fitness Instructors</t>
  </si>
  <si>
    <t>25-1042</t>
  </si>
  <si>
    <t>Biological Science Teachers, Postsecondary</t>
  </si>
  <si>
    <t>25-1051</t>
  </si>
  <si>
    <t>Atmospheric, Earth, Marine, and Space Sciences Teachers, Postsecondary</t>
  </si>
  <si>
    <t>25-1052</t>
  </si>
  <si>
    <t>Chemistry Teachers, Postsecondary</t>
  </si>
  <si>
    <t>25-1054</t>
  </si>
  <si>
    <t>Physics Teachers, Postsecondary</t>
  </si>
  <si>
    <t>25-1125</t>
  </si>
  <si>
    <t>History Teachers, Postsecondary</t>
  </si>
  <si>
    <t>25-1064</t>
  </si>
  <si>
    <t>Geography Teachers, Postsecondary</t>
  </si>
  <si>
    <t>25-1066</t>
  </si>
  <si>
    <t>Psychology Teachers, Postsecondary</t>
  </si>
  <si>
    <t>13.1339</t>
  </si>
  <si>
    <t>25-9049</t>
  </si>
  <si>
    <t>Teaching Assistants, All Other</t>
  </si>
  <si>
    <t>25-9044</t>
  </si>
  <si>
    <t>Teaching Assistants, Postsecondary</t>
  </si>
  <si>
    <t>17-2199</t>
  </si>
  <si>
    <t>Engineers, All Other</t>
  </si>
  <si>
    <t>25-1032</t>
  </si>
  <si>
    <t>Engineering Teachers, Postsecondary</t>
  </si>
  <si>
    <t>14.0103</t>
  </si>
  <si>
    <t>17-2011</t>
  </si>
  <si>
    <t>Aerospace Engineers</t>
  </si>
  <si>
    <t>14.0202</t>
  </si>
  <si>
    <t>17-3021</t>
  </si>
  <si>
    <t>Aerospace Engineering and Operations Technologists and Technicians</t>
  </si>
  <si>
    <t>14.0299</t>
  </si>
  <si>
    <t>49-2091</t>
  </si>
  <si>
    <t>Avionics Technicians</t>
  </si>
  <si>
    <t>17-2021</t>
  </si>
  <si>
    <t>Agricultural Engineers</t>
  </si>
  <si>
    <t>17-2031</t>
  </si>
  <si>
    <t>Bioengineers and Biomedical Engineers</t>
  </si>
  <si>
    <t>17-2041</t>
  </si>
  <si>
    <t>Chemical Engineers</t>
  </si>
  <si>
    <t>17-2131</t>
  </si>
  <si>
    <t>Materials Engineers</t>
  </si>
  <si>
    <t>17-2051</t>
  </si>
  <si>
    <t>Civil Engineers</t>
  </si>
  <si>
    <t>17-2081</t>
  </si>
  <si>
    <t>Environmental Engineers</t>
  </si>
  <si>
    <t>17-2151</t>
  </si>
  <si>
    <t>Mining and Geological Engineers, Including Mining Safety Engineers</t>
  </si>
  <si>
    <t>17-2171</t>
  </si>
  <si>
    <t>Petroleum Engineers</t>
  </si>
  <si>
    <t>17-2061</t>
  </si>
  <si>
    <t>Computer Hardware Engineers</t>
  </si>
  <si>
    <t>17-2071</t>
  </si>
  <si>
    <t>Electrical Engineers</t>
  </si>
  <si>
    <t>17-2072</t>
  </si>
  <si>
    <t>Electronics Engineers, Except Computer</t>
  </si>
  <si>
    <t>17-2141</t>
  </si>
  <si>
    <t>Mechanical Engineers</t>
  </si>
  <si>
    <t>11-9121</t>
  </si>
  <si>
    <t>Natural Sciences Managers</t>
  </si>
  <si>
    <t>19-2012</t>
  </si>
  <si>
    <t>Physicists</t>
  </si>
  <si>
    <t>17-2111</t>
  </si>
  <si>
    <t>Health and Safety Engineers, Except Mining Safety Engineers and Inspectors</t>
  </si>
  <si>
    <t>13-1051</t>
  </si>
  <si>
    <t>Cost Estimators</t>
  </si>
  <si>
    <t>17-2121</t>
  </si>
  <si>
    <t>Marine Engineers and Naval Architects</t>
  </si>
  <si>
    <t>17-2161</t>
  </si>
  <si>
    <t>Nuclear Engineers</t>
  </si>
  <si>
    <t>17-2112</t>
  </si>
  <si>
    <t>Industrial Engineers</t>
  </si>
  <si>
    <t>11-3051</t>
  </si>
  <si>
    <t>Industrial Production Managers</t>
  </si>
  <si>
    <t>15-2031</t>
  </si>
  <si>
    <t>Operations Research Analysts</t>
  </si>
  <si>
    <t>17-1021</t>
  </si>
  <si>
    <t>Cartographers and Photogrammetrists</t>
  </si>
  <si>
    <t>17-1022</t>
  </si>
  <si>
    <t>Surveyors</t>
  </si>
  <si>
    <t>14.4701</t>
  </si>
  <si>
    <t>14.4801</t>
  </si>
  <si>
    <t>14.4802</t>
  </si>
  <si>
    <t>14.4899</t>
  </si>
  <si>
    <t>17-3022</t>
  </si>
  <si>
    <t>Civil Engineering Technologists and Technicians</t>
  </si>
  <si>
    <t>17-3023</t>
  </si>
  <si>
    <t>Electrical and Electronic Engineering Technologists and Technicians</t>
  </si>
  <si>
    <t>17-3024</t>
  </si>
  <si>
    <t>Electro-Mechanical and Mechatronics Technologists and Technicians</t>
  </si>
  <si>
    <t>15.0001</t>
  </si>
  <si>
    <t>17-3026</t>
  </si>
  <si>
    <t>Industrial Engineering Technologists and Technicians</t>
  </si>
  <si>
    <t>17-3029</t>
  </si>
  <si>
    <t>Engineering Technologists and Technicians, Except Drafters, All Other</t>
  </si>
  <si>
    <t>53-6041</t>
  </si>
  <si>
    <t>Traffic Technicians</t>
  </si>
  <si>
    <t>17-3012</t>
  </si>
  <si>
    <t>Electrical and Electronics Drafters</t>
  </si>
  <si>
    <t>17-3028</t>
  </si>
  <si>
    <t>Calibration Technologists and Technicians</t>
  </si>
  <si>
    <t>49-2095</t>
  </si>
  <si>
    <t>Electrical and Electronics Repairers, Powerhouse, Substation, and Relay</t>
  </si>
  <si>
    <t>15.0307</t>
  </si>
  <si>
    <t>49-9062</t>
  </si>
  <si>
    <t>Medical Equipment Repairers</t>
  </si>
  <si>
    <t>49-9069</t>
  </si>
  <si>
    <t>Precision Instrument and Equipment Repairers, All Other</t>
  </si>
  <si>
    <t>15.0407</t>
  </si>
  <si>
    <t>49-9021</t>
  </si>
  <si>
    <t>Heating, Air Conditioning, and Refrigeration Mechanics and Installers</t>
  </si>
  <si>
    <t>17-3025</t>
  </si>
  <si>
    <t>Environmental Engineering Technologists and Technicians</t>
  </si>
  <si>
    <t>51-8031</t>
  </si>
  <si>
    <t>Water and Wastewater Treatment Plant and System Operators</t>
  </si>
  <si>
    <t>47-4041</t>
  </si>
  <si>
    <t>Hazardous Materials Removal Workers</t>
  </si>
  <si>
    <t>51-4121</t>
  </si>
  <si>
    <t>Welders, Cutters, Solderers, and Brazers</t>
  </si>
  <si>
    <t>51-9141</t>
  </si>
  <si>
    <t>Semiconductor Processing Technicians</t>
  </si>
  <si>
    <t>15.0617</t>
  </si>
  <si>
    <t>19-5011</t>
  </si>
  <si>
    <t>Occupational Health and Safety Specialists</t>
  </si>
  <si>
    <t>51-9061</t>
  </si>
  <si>
    <t>Inspectors, Testers, Sorters, Samplers, and Weighers</t>
  </si>
  <si>
    <t>15.0705</t>
  </si>
  <si>
    <t>19-5012</t>
  </si>
  <si>
    <t>Occupational Health and Safety Technicians</t>
  </si>
  <si>
    <t>17-3013</t>
  </si>
  <si>
    <t>Mechanical Drafters</t>
  </si>
  <si>
    <t>17-3027</t>
  </si>
  <si>
    <t>Mechanical Engineering Technologists and Technicians</t>
  </si>
  <si>
    <t>49-3023</t>
  </si>
  <si>
    <t>Automotive Service Technicians and Mechanics</t>
  </si>
  <si>
    <t>15.0806</t>
  </si>
  <si>
    <t>49-3051</t>
  </si>
  <si>
    <t>Motorboat Mechanics and Service Technicians</t>
  </si>
  <si>
    <t>15.0807</t>
  </si>
  <si>
    <t>19-4043</t>
  </si>
  <si>
    <t>Geological Technicians, Except Hydrologic Technicians</t>
  </si>
  <si>
    <t>47-5013</t>
  </si>
  <si>
    <t>Service Unit Operators, Oil and Gas</t>
  </si>
  <si>
    <t>51-8092</t>
  </si>
  <si>
    <t>Gas Plant Operators</t>
  </si>
  <si>
    <t>11-9021</t>
  </si>
  <si>
    <t>Construction Managers</t>
  </si>
  <si>
    <t>17-3019</t>
  </si>
  <si>
    <t>Drafters, All Other</t>
  </si>
  <si>
    <t>17-3031</t>
  </si>
  <si>
    <t>Surveying and Mapping Technicians</t>
  </si>
  <si>
    <t>15.1307</t>
  </si>
  <si>
    <t>19-4051</t>
  </si>
  <si>
    <t>Nuclear Technicians</t>
  </si>
  <si>
    <t>11-3013</t>
  </si>
  <si>
    <t>Facilities Managers</t>
  </si>
  <si>
    <t>27-1021</t>
  </si>
  <si>
    <t>Commercial and Industrial Designers</t>
  </si>
  <si>
    <t>15.1701</t>
  </si>
  <si>
    <t>15.1702</t>
  </si>
  <si>
    <t>51-8013</t>
  </si>
  <si>
    <t>Power Plant Operators</t>
  </si>
  <si>
    <t>15.1703</t>
  </si>
  <si>
    <t>47-2231</t>
  </si>
  <si>
    <t>Solar Photovoltaic Installers</t>
  </si>
  <si>
    <t>15.1704</t>
  </si>
  <si>
    <t>49-9081</t>
  </si>
  <si>
    <t>Wind Turbine Service Technicians</t>
  </si>
  <si>
    <t>15.1705</t>
  </si>
  <si>
    <t>15.1706</t>
  </si>
  <si>
    <t>15.1799</t>
  </si>
  <si>
    <t>16.1409</t>
  </si>
  <si>
    <t>16.1701</t>
  </si>
  <si>
    <t>16.1801</t>
  </si>
  <si>
    <t>11-2021</t>
  </si>
  <si>
    <t>Marketing Managers</t>
  </si>
  <si>
    <t>11-2022</t>
  </si>
  <si>
    <t>Sales Managers</t>
  </si>
  <si>
    <t>13-1161</t>
  </si>
  <si>
    <t>Market Research Analysts and Marketing Specialists</t>
  </si>
  <si>
    <t>13-2052</t>
  </si>
  <si>
    <t>Personal Financial Advisors</t>
  </si>
  <si>
    <t>29-1031</t>
  </si>
  <si>
    <t>Dietitians and Nutritionists</t>
  </si>
  <si>
    <t>29-2051</t>
  </si>
  <si>
    <t>Dietetic Technicians</t>
  </si>
  <si>
    <t>13-1121</t>
  </si>
  <si>
    <t>Meeting, Convention, and Event Planners</t>
  </si>
  <si>
    <t>19-3039</t>
  </si>
  <si>
    <t>Psychologists, All Other</t>
  </si>
  <si>
    <t>39-9011</t>
  </si>
  <si>
    <t>Childcare Workers</t>
  </si>
  <si>
    <t>21-1093</t>
  </si>
  <si>
    <t>Social and Human Service Assistants</t>
  </si>
  <si>
    <t>21-1099</t>
  </si>
  <si>
    <t>Community and Social Service Specialists, All Other</t>
  </si>
  <si>
    <t>19.0711</t>
  </si>
  <si>
    <t>19.0712</t>
  </si>
  <si>
    <t>27-1022</t>
  </si>
  <si>
    <t>Fashion Designers</t>
  </si>
  <si>
    <t>51-6092</t>
  </si>
  <si>
    <t>Fabric and Apparel Patternmakers</t>
  </si>
  <si>
    <t>19-2032</t>
  </si>
  <si>
    <t>Materials Scientists</t>
  </si>
  <si>
    <t>19.1001</t>
  </si>
  <si>
    <t>23-2011</t>
  </si>
  <si>
    <t>Paralegals and Legal Assistants</t>
  </si>
  <si>
    <t>23-2099</t>
  </si>
  <si>
    <t>Legal Support Workers, All Other</t>
  </si>
  <si>
    <t>22.0099</t>
  </si>
  <si>
    <t>23-1011</t>
  </si>
  <si>
    <t>Lawyers</t>
  </si>
  <si>
    <t>23-1012</t>
  </si>
  <si>
    <t>Judicial Law Clerks</t>
  </si>
  <si>
    <t>23-1021</t>
  </si>
  <si>
    <t>Administrative Law Judges, Adjudicators, and Hearing Officers</t>
  </si>
  <si>
    <t>23-1022</t>
  </si>
  <si>
    <t>Arbitrators, Mediators, and Conciliators</t>
  </si>
  <si>
    <t>23-1023</t>
  </si>
  <si>
    <t>Judges, Magistrate Judges, and Magistrates</t>
  </si>
  <si>
    <t>25-1112</t>
  </si>
  <si>
    <t>Law Teachers, Postsecondary</t>
  </si>
  <si>
    <t>22.0213</t>
  </si>
  <si>
    <t>22.0214</t>
  </si>
  <si>
    <t>22.0215</t>
  </si>
  <si>
    <t>22.0216</t>
  </si>
  <si>
    <t>22.0217</t>
  </si>
  <si>
    <t>22.0218</t>
  </si>
  <si>
    <t>22.0219</t>
  </si>
  <si>
    <t>22.0220</t>
  </si>
  <si>
    <t>22.0221</t>
  </si>
  <si>
    <t>22.0222</t>
  </si>
  <si>
    <t>22.0223</t>
  </si>
  <si>
    <t>22.0224</t>
  </si>
  <si>
    <t>43-6012</t>
  </si>
  <si>
    <t>Legal Secretaries and Administrative Assistants</t>
  </si>
  <si>
    <t>23-2093</t>
  </si>
  <si>
    <t>Title Examiners, Abstractors, and Searchers</t>
  </si>
  <si>
    <t>22.0304</t>
  </si>
  <si>
    <t>22.0305</t>
  </si>
  <si>
    <t>Children's and Adolescent Literature.</t>
  </si>
  <si>
    <t>25-1082</t>
  </si>
  <si>
    <t>Library Science Teachers, Postsecondary</t>
  </si>
  <si>
    <t>25-4011</t>
  </si>
  <si>
    <t>Archivists</t>
  </si>
  <si>
    <t>25-4031</t>
  </si>
  <si>
    <t>Library Technicians</t>
  </si>
  <si>
    <t>19-1029</t>
  </si>
  <si>
    <t>Biological Scientists, All Other</t>
  </si>
  <si>
    <t>19-1099</t>
  </si>
  <si>
    <t>Life Scientists, All Other</t>
  </si>
  <si>
    <t>19-4021</t>
  </si>
  <si>
    <t>Biological Technicians</t>
  </si>
  <si>
    <t>19-4092</t>
  </si>
  <si>
    <t>Forensic Science Technicians</t>
  </si>
  <si>
    <t>19-1042</t>
  </si>
  <si>
    <t>Medical Scientists, Except Epidemiologists</t>
  </si>
  <si>
    <t>19-1021</t>
  </si>
  <si>
    <t>Biochemists and Biophysicists</t>
  </si>
  <si>
    <t>19-1041</t>
  </si>
  <si>
    <t>Epidemiologists</t>
  </si>
  <si>
    <t>29-2011</t>
  </si>
  <si>
    <t>Medical and Clinical Laboratory Technologists</t>
  </si>
  <si>
    <t>26.0509</t>
  </si>
  <si>
    <t>29-9092</t>
  </si>
  <si>
    <t>Genetic Counselors</t>
  </si>
  <si>
    <t>29-1128</t>
  </si>
  <si>
    <t>Exercise Physiologists</t>
  </si>
  <si>
    <t>26.0913</t>
  </si>
  <si>
    <t>15-2099</t>
  </si>
  <si>
    <t>Mathematical Science Occupations, All Other</t>
  </si>
  <si>
    <t>15-2021</t>
  </si>
  <si>
    <t>Mathematicians</t>
  </si>
  <si>
    <t>26.1311</t>
  </si>
  <si>
    <t>15-2011</t>
  </si>
  <si>
    <t>Actuaries</t>
  </si>
  <si>
    <t>13-2051</t>
  </si>
  <si>
    <t>Financial and Investment Analysts</t>
  </si>
  <si>
    <t>13-2054</t>
  </si>
  <si>
    <t>Financial Risk Specialists</t>
  </si>
  <si>
    <t>13-2099</t>
  </si>
  <si>
    <t>Financial Specialists, All Other</t>
  </si>
  <si>
    <t>27.0601</t>
  </si>
  <si>
    <t>55-1019</t>
  </si>
  <si>
    <t>Military Officer Special and Tactical Operations Leaders, All Other</t>
  </si>
  <si>
    <t>55-1017</t>
  </si>
  <si>
    <t>Special Forces Officers</t>
  </si>
  <si>
    <t>55-3018</t>
  </si>
  <si>
    <t>Special Forces</t>
  </si>
  <si>
    <t>55-3019</t>
  </si>
  <si>
    <t>Military Enlisted Tactical Operations and Air/Weapons Specialists and Crew Members, All Other</t>
  </si>
  <si>
    <t>55-1016</t>
  </si>
  <si>
    <t>Infantry Officers</t>
  </si>
  <si>
    <t>55-1014</t>
  </si>
  <si>
    <t>Artillery and Missile Officers</t>
  </si>
  <si>
    <t>55-3014</t>
  </si>
  <si>
    <t>Artillery and Missile Crew Members</t>
  </si>
  <si>
    <t>Command &amp; Control (C3, C4I) Systems and Operations.</t>
  </si>
  <si>
    <t>55-1015</t>
  </si>
  <si>
    <t>Command and Control Center Officers</t>
  </si>
  <si>
    <t>55-3015</t>
  </si>
  <si>
    <t>Command and Control Center Specialists</t>
  </si>
  <si>
    <t>55-3012</t>
  </si>
  <si>
    <t>Aircraft Launch and Recovery Specialists</t>
  </si>
  <si>
    <t>29.0601</t>
  </si>
  <si>
    <t>30.0001</t>
  </si>
  <si>
    <t>25-1113</t>
  </si>
  <si>
    <t>Social Work Teachers, Postsecondary</t>
  </si>
  <si>
    <t>25-4012</t>
  </si>
  <si>
    <t>Curators</t>
  </si>
  <si>
    <t>25-4013</t>
  </si>
  <si>
    <t>Museum Technicians and Conservators</t>
  </si>
  <si>
    <t>11-3031</t>
  </si>
  <si>
    <t>Financial Managers</t>
  </si>
  <si>
    <t>13-2011</t>
  </si>
  <si>
    <t>Accountants and Auditors</t>
  </si>
  <si>
    <t>11-9151</t>
  </si>
  <si>
    <t>Social and Community Service Managers</t>
  </si>
  <si>
    <t>19-2099</t>
  </si>
  <si>
    <t>Physical Scientists, All Other</t>
  </si>
  <si>
    <t>19-3094</t>
  </si>
  <si>
    <t>Political Scientists</t>
  </si>
  <si>
    <t>19-3091</t>
  </si>
  <si>
    <t>Anthropologists and Archeologists</t>
  </si>
  <si>
    <t>25-1061</t>
  </si>
  <si>
    <t>Anthropology and Archeology Teachers, Postsecondary</t>
  </si>
  <si>
    <t>30.2299</t>
  </si>
  <si>
    <t>30.2502</t>
  </si>
  <si>
    <t>21-2021</t>
  </si>
  <si>
    <t>Directors, Religious Activities and Education</t>
  </si>
  <si>
    <t>21-2099</t>
  </si>
  <si>
    <t>Religious Workers, All Other</t>
  </si>
  <si>
    <t>30.2599</t>
  </si>
  <si>
    <t>13-1075</t>
  </si>
  <si>
    <t>Labor Relations Specialists</t>
  </si>
  <si>
    <t>19-2042</t>
  </si>
  <si>
    <t>Geoscientists, Except Hydrologists and Geographers</t>
  </si>
  <si>
    <t>30.3401</t>
  </si>
  <si>
    <t>30.3501</t>
  </si>
  <si>
    <t>19-2021</t>
  </si>
  <si>
    <t>Atmospheric and Space Scientists</t>
  </si>
  <si>
    <t>19-3092</t>
  </si>
  <si>
    <t>Geographers</t>
  </si>
  <si>
    <t>30.3601</t>
  </si>
  <si>
    <t>30.3701</t>
  </si>
  <si>
    <t>30.3801</t>
  </si>
  <si>
    <t>19-2043</t>
  </si>
  <si>
    <t>Hydrologists</t>
  </si>
  <si>
    <t>30.3901</t>
  </si>
  <si>
    <t>30.4001</t>
  </si>
  <si>
    <t>30.4101</t>
  </si>
  <si>
    <t>30.4201</t>
  </si>
  <si>
    <t>30.4301</t>
  </si>
  <si>
    <t>30.4401</t>
  </si>
  <si>
    <t>30.4501</t>
  </si>
  <si>
    <t>30.4601</t>
  </si>
  <si>
    <t>25-1065</t>
  </si>
  <si>
    <t>Political Science Teachers, Postsecondary</t>
  </si>
  <si>
    <t>30.4701</t>
  </si>
  <si>
    <t>30.4801</t>
  </si>
  <si>
    <t>30.4901</t>
  </si>
  <si>
    <t>30.5001</t>
  </si>
  <si>
    <t>30.5101</t>
  </si>
  <si>
    <t>25-1126</t>
  </si>
  <si>
    <t>Philosophy and Religion Teachers, Postsecondary</t>
  </si>
  <si>
    <t>30.5201</t>
  </si>
  <si>
    <t>30.5202</t>
  </si>
  <si>
    <t>30.5203</t>
  </si>
  <si>
    <t>30.5299</t>
  </si>
  <si>
    <t>30.5301</t>
  </si>
  <si>
    <t>21-1019</t>
  </si>
  <si>
    <t>Counselors, All Other</t>
  </si>
  <si>
    <t>21-1022</t>
  </si>
  <si>
    <t>Healthcare Social Workers</t>
  </si>
  <si>
    <t>30.7001</t>
  </si>
  <si>
    <t>30.7099</t>
  </si>
  <si>
    <t>30.7101</t>
  </si>
  <si>
    <t>30.7102</t>
  </si>
  <si>
    <t>30.7103</t>
  </si>
  <si>
    <t>30.7104</t>
  </si>
  <si>
    <t>30.7199</t>
  </si>
  <si>
    <t>27-2021</t>
  </si>
  <si>
    <t>Athletes and Sports Competitors</t>
  </si>
  <si>
    <t>29-9091</t>
  </si>
  <si>
    <t>Athletic Trainers</t>
  </si>
  <si>
    <t>39-1014</t>
  </si>
  <si>
    <t>First-Line Supervisors of Entertainment and Recreation Workers, Except Gambling Services</t>
  </si>
  <si>
    <t>39-9032</t>
  </si>
  <si>
    <t>Recreation Workers</t>
  </si>
  <si>
    <t>32.0112</t>
  </si>
  <si>
    <t>32.0201</t>
  </si>
  <si>
    <t>32.0202</t>
  </si>
  <si>
    <t>32.0203</t>
  </si>
  <si>
    <t>32.0204</t>
  </si>
  <si>
    <t>32.0205</t>
  </si>
  <si>
    <t>32.0299</t>
  </si>
  <si>
    <t>33.0106</t>
  </si>
  <si>
    <t>34.0105</t>
  </si>
  <si>
    <t>35.0105</t>
  </si>
  <si>
    <t>36.0120</t>
  </si>
  <si>
    <t>36.0121</t>
  </si>
  <si>
    <t>36.0122</t>
  </si>
  <si>
    <t>36.0123</t>
  </si>
  <si>
    <t>36.0202</t>
  </si>
  <si>
    <t>36.0203</t>
  </si>
  <si>
    <t>36.0204</t>
  </si>
  <si>
    <t>36.0205</t>
  </si>
  <si>
    <t>36.0206</t>
  </si>
  <si>
    <t>36.0207</t>
  </si>
  <si>
    <t>36.0299</t>
  </si>
  <si>
    <t>37.0106</t>
  </si>
  <si>
    <t>37.0107</t>
  </si>
  <si>
    <t>38.0207</t>
  </si>
  <si>
    <t>38.0208</t>
  </si>
  <si>
    <t>38.0209</t>
  </si>
  <si>
    <t>39.0302</t>
  </si>
  <si>
    <t>39.0399</t>
  </si>
  <si>
    <t>27-2041</t>
  </si>
  <si>
    <t>Music Directors and Composers</t>
  </si>
  <si>
    <t>39.0502</t>
  </si>
  <si>
    <t>39.0599</t>
  </si>
  <si>
    <t>21-2011</t>
  </si>
  <si>
    <t>Clergy</t>
  </si>
  <si>
    <t>Women's Ministry.</t>
  </si>
  <si>
    <t>39.0706</t>
  </si>
  <si>
    <t>39.0801</t>
  </si>
  <si>
    <t>39.0802</t>
  </si>
  <si>
    <t>39.0899</t>
  </si>
  <si>
    <t>19-2011</t>
  </si>
  <si>
    <t>Astronomers</t>
  </si>
  <si>
    <t>19-4099</t>
  </si>
  <si>
    <t>Life, Physical, and Social Science Technicians, All Other</t>
  </si>
  <si>
    <t>19-2031</t>
  </si>
  <si>
    <t>Chemists</t>
  </si>
  <si>
    <t>19-4031</t>
  </si>
  <si>
    <t>Chemical Technicians</t>
  </si>
  <si>
    <t>40.0512</t>
  </si>
  <si>
    <t>19-4044</t>
  </si>
  <si>
    <t>Hydrologic Technicians</t>
  </si>
  <si>
    <t>40.1101</t>
  </si>
  <si>
    <t>51-8011</t>
  </si>
  <si>
    <t>Nuclear Power Reactor Operators</t>
  </si>
  <si>
    <t>51-8091</t>
  </si>
  <si>
    <t>Chemical Plant and System Operators</t>
  </si>
  <si>
    <t>51-9011</t>
  </si>
  <si>
    <t>Chemical Equipment Operators and Tenders</t>
  </si>
  <si>
    <t>19-3032</t>
  </si>
  <si>
    <t>Industrial-Organizational Psychologists</t>
  </si>
  <si>
    <t>19-3033</t>
  </si>
  <si>
    <t>Clinical and Counseling Psychologists</t>
  </si>
  <si>
    <t>21-1021</t>
  </si>
  <si>
    <t>Child, Family, and School Social Workers</t>
  </si>
  <si>
    <t>42.2710</t>
  </si>
  <si>
    <t>21-1014</t>
  </si>
  <si>
    <t>Mental Health Counselors</t>
  </si>
  <si>
    <t>13-1071</t>
  </si>
  <si>
    <t>Human Resources Specialists</t>
  </si>
  <si>
    <t>19-3034</t>
  </si>
  <si>
    <t>School Psychologists</t>
  </si>
  <si>
    <t>42.2815</t>
  </si>
  <si>
    <t>42.2816</t>
  </si>
  <si>
    <t>42.2817</t>
  </si>
  <si>
    <t>43.0100</t>
  </si>
  <si>
    <t>33-1011</t>
  </si>
  <si>
    <t>First-Line Supervisors of Correctional Officers</t>
  </si>
  <si>
    <t>33-3012</t>
  </si>
  <si>
    <t>Correctional Officers and Jailers</t>
  </si>
  <si>
    <t>33-3011</t>
  </si>
  <si>
    <t>Bailiffs</t>
  </si>
  <si>
    <t>33-9021</t>
  </si>
  <si>
    <t>Private Detectives and Investigators</t>
  </si>
  <si>
    <t>33-1091</t>
  </si>
  <si>
    <t>First-Line Supervisors of Security Workers</t>
  </si>
  <si>
    <t>33-3052</t>
  </si>
  <si>
    <t>Transit and Railroad Police</t>
  </si>
  <si>
    <t>33-9032</t>
  </si>
  <si>
    <t>Security Guards</t>
  </si>
  <si>
    <t>33-1099</t>
  </si>
  <si>
    <t>First-Line Supervisors of Protective Service Workers, All Other</t>
  </si>
  <si>
    <t>11-9161</t>
  </si>
  <si>
    <t>Emergency Management Directors</t>
  </si>
  <si>
    <t>13-2061</t>
  </si>
  <si>
    <t>Financial Examiners</t>
  </si>
  <si>
    <t>33-2021</t>
  </si>
  <si>
    <t>Fire Inspectors and Investigators</t>
  </si>
  <si>
    <t>43.0401</t>
  </si>
  <si>
    <t>43.0402</t>
  </si>
  <si>
    <t>43.0403</t>
  </si>
  <si>
    <t>43.0404</t>
  </si>
  <si>
    <t>43.0405</t>
  </si>
  <si>
    <t>43.0406</t>
  </si>
  <si>
    <t>43.0407</t>
  </si>
  <si>
    <t>43.0408</t>
  </si>
  <si>
    <t>43.0499</t>
  </si>
  <si>
    <t>43-4061</t>
  </si>
  <si>
    <t>Eligibility Interviewers, Government Programs</t>
  </si>
  <si>
    <t>11-1011</t>
  </si>
  <si>
    <t>Chief Executives</t>
  </si>
  <si>
    <t>11-1031</t>
  </si>
  <si>
    <t>Legislators</t>
  </si>
  <si>
    <t>11-3071</t>
  </si>
  <si>
    <t>Transportation, Storage, and Distribution Managers</t>
  </si>
  <si>
    <t>11-9131</t>
  </si>
  <si>
    <t>Postmasters and Mail Superintendents</t>
  </si>
  <si>
    <t>44.0402</t>
  </si>
  <si>
    <t>44.0403</t>
  </si>
  <si>
    <t>44.0499</t>
  </si>
  <si>
    <t>21-1013</t>
  </si>
  <si>
    <t>Marriage and Family Therapists</t>
  </si>
  <si>
    <t>21-1023</t>
  </si>
  <si>
    <t>Mental Health and Substance Abuse Social Workers</t>
  </si>
  <si>
    <t>21-1029</t>
  </si>
  <si>
    <t>Social Workers, All Other</t>
  </si>
  <si>
    <t>21-1092</t>
  </si>
  <si>
    <t>Probation Officers and Correctional Treatment Specialists</t>
  </si>
  <si>
    <t>44.0703</t>
  </si>
  <si>
    <t>19-3041</t>
  </si>
  <si>
    <t>Sociologists</t>
  </si>
  <si>
    <t>45.0103</t>
  </si>
  <si>
    <t>25-1067</t>
  </si>
  <si>
    <t>Sociology Teachers, Postsecondary</t>
  </si>
  <si>
    <t>45.0199</t>
  </si>
  <si>
    <t>45.0205</t>
  </si>
  <si>
    <t>39-7011</t>
  </si>
  <si>
    <t>Tour Guides and Escorts</t>
  </si>
  <si>
    <t>45.0502</t>
  </si>
  <si>
    <t>45.0599</t>
  </si>
  <si>
    <t>45.1102</t>
  </si>
  <si>
    <t>45.1103</t>
  </si>
  <si>
    <t>45.1199</t>
  </si>
  <si>
    <t>45.1501</t>
  </si>
  <si>
    <t>47-1011</t>
  </si>
  <si>
    <t>First-Line Supervisors of Construction Trades and Extraction Workers</t>
  </si>
  <si>
    <t>47-2021</t>
  </si>
  <si>
    <t>Brickmasons and Blockmasons</t>
  </si>
  <si>
    <t>47-2022</t>
  </si>
  <si>
    <t>Stonemasons</t>
  </si>
  <si>
    <t>47-2044</t>
  </si>
  <si>
    <t>Tile and Stone Setters</t>
  </si>
  <si>
    <t>47-2031</t>
  </si>
  <si>
    <t>Carpenters</t>
  </si>
  <si>
    <t>49-1011</t>
  </si>
  <si>
    <t>First-Line Supervisors of Mechanics, Installers, and Repairers</t>
  </si>
  <si>
    <t>49-9051</t>
  </si>
  <si>
    <t>Electrical Power-Line Installers and Repairers</t>
  </si>
  <si>
    <t>47-2111</t>
  </si>
  <si>
    <t>Electricians</t>
  </si>
  <si>
    <t>49-2098</t>
  </si>
  <si>
    <t>Security and Fire Alarm Systems Installers</t>
  </si>
  <si>
    <t>49-9097</t>
  </si>
  <si>
    <t>Signal and Track Switch Repairers</t>
  </si>
  <si>
    <t>37-1011</t>
  </si>
  <si>
    <t>First-Line Supervisors of Housekeeping and Janitorial Workers</t>
  </si>
  <si>
    <t>49-9071</t>
  </si>
  <si>
    <t>Maintenance and Repair Workers, General</t>
  </si>
  <si>
    <t>47-2051</t>
  </si>
  <si>
    <t>Cement Masons and Concrete Finishers</t>
  </si>
  <si>
    <t>47-4011</t>
  </si>
  <si>
    <t>Construction and Building Inspectors</t>
  </si>
  <si>
    <t>47-2081</t>
  </si>
  <si>
    <t>Drywall and Ceiling Tile Installers</t>
  </si>
  <si>
    <t>47-2121</t>
  </si>
  <si>
    <t>Glaziers</t>
  </si>
  <si>
    <t>47-2141</t>
  </si>
  <si>
    <t>Painters, Construction and Maintenance</t>
  </si>
  <si>
    <t>47-2142</t>
  </si>
  <si>
    <t>Paperhangers</t>
  </si>
  <si>
    <t>47-2181</t>
  </si>
  <si>
    <t>Roofers</t>
  </si>
  <si>
    <t>47-2221</t>
  </si>
  <si>
    <t>Structural Iron and Steel Workers</t>
  </si>
  <si>
    <t>49-9095</t>
  </si>
  <si>
    <t>Manufactured Building and Mobile Home Installers</t>
  </si>
  <si>
    <t>47-2041</t>
  </si>
  <si>
    <t>Carpet Installers</t>
  </si>
  <si>
    <t>47-2042</t>
  </si>
  <si>
    <t>Floor Layers, Except Carpet, Wood, and Hard Tiles</t>
  </si>
  <si>
    <t>47-2043</t>
  </si>
  <si>
    <t>Floor Sanders and Finishers</t>
  </si>
  <si>
    <t>47-2053</t>
  </si>
  <si>
    <t>Terrazzo Workers and Finishers</t>
  </si>
  <si>
    <t>47-2131</t>
  </si>
  <si>
    <t>Insulation Workers, Floor, Ceiling, and Wall</t>
  </si>
  <si>
    <t>47-2132</t>
  </si>
  <si>
    <t>Insulation Workers, Mechanical</t>
  </si>
  <si>
    <t>47-2152</t>
  </si>
  <si>
    <t>Plumbers, Pipefitters, and Steamfitters</t>
  </si>
  <si>
    <t>47-4071</t>
  </si>
  <si>
    <t>Septic Tank Servicers and Sewer Pipe Cleaners</t>
  </si>
  <si>
    <t>47-5011</t>
  </si>
  <si>
    <t>Derrick Operators, Oil and Gas</t>
  </si>
  <si>
    <t>47-5012</t>
  </si>
  <si>
    <t>Rotary Drill Operators, Oil and Gas</t>
  </si>
  <si>
    <t>47-5023</t>
  </si>
  <si>
    <t>Earth Drillers, Except Oil and Gas</t>
  </si>
  <si>
    <t>47-5032</t>
  </si>
  <si>
    <t>Explosives Workers, Ordnance Handling Experts, and Blasters</t>
  </si>
  <si>
    <t>49-9099</t>
  </si>
  <si>
    <t>Installation, Maintenance, and Repair Workers, All Other</t>
  </si>
  <si>
    <t>49-2092</t>
  </si>
  <si>
    <t>Electric Motor, Power Tool, and Related Repairers</t>
  </si>
  <si>
    <t>49-2011</t>
  </si>
  <si>
    <t>Computer, Automated Teller, and Office Machine Repairers</t>
  </si>
  <si>
    <t>43-2099</t>
  </si>
  <si>
    <t>Communications Equipment Operators, All Other</t>
  </si>
  <si>
    <t>49-2021</t>
  </si>
  <si>
    <t>Radio, Cellular, and Tower Equipment Installers and Repairers</t>
  </si>
  <si>
    <t>49-2022</t>
  </si>
  <si>
    <t>Telecommunications Equipment Installers and Repairers, Except Line Installers</t>
  </si>
  <si>
    <t>49-2097</t>
  </si>
  <si>
    <t>Audiovisual Equipment Installers and Repairers</t>
  </si>
  <si>
    <t>49-9052</t>
  </si>
  <si>
    <t>Telecommunications Line Installers and Repairers</t>
  </si>
  <si>
    <t>49-2094</t>
  </si>
  <si>
    <t>Electrical and Electronics Repairers, Commercial and Industrial Equipment</t>
  </si>
  <si>
    <t>49-9031</t>
  </si>
  <si>
    <t>Home Appliance Repairers</t>
  </si>
  <si>
    <t>49-3043</t>
  </si>
  <si>
    <t>Rail Car Repairers</t>
  </si>
  <si>
    <t>49-9012</t>
  </si>
  <si>
    <t>Control and Valve Installers and Repairers, Except Mechanical Door</t>
  </si>
  <si>
    <t>47-4021</t>
  </si>
  <si>
    <t>Elevator and Escalator Installers and Repairers</t>
  </si>
  <si>
    <t>49-9041</t>
  </si>
  <si>
    <t>Industrial Machinery Mechanics</t>
  </si>
  <si>
    <t>49-9043</t>
  </si>
  <si>
    <t>Maintenance Workers, Machinery</t>
  </si>
  <si>
    <t>49-9044</t>
  </si>
  <si>
    <t>Millwrights</t>
  </si>
  <si>
    <t>49-9045</t>
  </si>
  <si>
    <t>Refractory Materials Repairers, Except Brickmasons</t>
  </si>
  <si>
    <t>49-9094</t>
  </si>
  <si>
    <t>Locksmiths and Safe Repairers</t>
  </si>
  <si>
    <t>49-9063</t>
  </si>
  <si>
    <t>Musical Instrument Repairers and Tuners</t>
  </si>
  <si>
    <t>49-9064</t>
  </si>
  <si>
    <t>Watch and Clock Repairers</t>
  </si>
  <si>
    <t>51-2061</t>
  </si>
  <si>
    <t>Timing Device Assemblers and Adjusters</t>
  </si>
  <si>
    <t>51-9071</t>
  </si>
  <si>
    <t>Jewelers and Precious Stone and Metal Workers</t>
  </si>
  <si>
    <t>49-9061</t>
  </si>
  <si>
    <t>Camera and Photographic Equipment Repairers</t>
  </si>
  <si>
    <t>13-1032</t>
  </si>
  <si>
    <t>Insurance Appraisers, Auto Damage</t>
  </si>
  <si>
    <t>49-3021</t>
  </si>
  <si>
    <t>Automotive Body and Related Repairers</t>
  </si>
  <si>
    <t>49-3022</t>
  </si>
  <si>
    <t>Automotive Glass Installers and Repairers</t>
  </si>
  <si>
    <t>51-9124</t>
  </si>
  <si>
    <t>Coating, Painting, and Spraying Machine Setters, Operators, and Tenders</t>
  </si>
  <si>
    <t>49-2093</t>
  </si>
  <si>
    <t>Electrical and Electronics Installers and Repairers, Transportation Equipment</t>
  </si>
  <si>
    <t>49-2096</t>
  </si>
  <si>
    <t>Electronic Equipment Installers and Repairers, Motor Vehicles</t>
  </si>
  <si>
    <t>49-3031</t>
  </si>
  <si>
    <t>Bus and Truck Mechanics and Diesel Engine Specialists</t>
  </si>
  <si>
    <t>49-3053</t>
  </si>
  <si>
    <t>Outdoor Power Equipment and Other Small Engine Mechanics</t>
  </si>
  <si>
    <t>51-2011</t>
  </si>
  <si>
    <t>Aircraft Structure, Surfaces, Rigging, and Systems Assemblers</t>
  </si>
  <si>
    <t>49-3091</t>
  </si>
  <si>
    <t>Bicycle Repairers</t>
  </si>
  <si>
    <t>49-3052</t>
  </si>
  <si>
    <t>Motorcycle Mechanics</t>
  </si>
  <si>
    <t>51-2031</t>
  </si>
  <si>
    <t>Engine and Other Machine Assemblers</t>
  </si>
  <si>
    <t>49-3092</t>
  </si>
  <si>
    <t>Recreational Vehicle Service Technicians</t>
  </si>
  <si>
    <t>47.0701</t>
  </si>
  <si>
    <t>47.0703</t>
  </si>
  <si>
    <t>47.0704</t>
  </si>
  <si>
    <t>47.0705</t>
  </si>
  <si>
    <t>47.0706</t>
  </si>
  <si>
    <t>47.0799</t>
  </si>
  <si>
    <t>51-6093</t>
  </si>
  <si>
    <t>Upholsterers</t>
  </si>
  <si>
    <t>51-6041</t>
  </si>
  <si>
    <t>Shoe and Leather Workers and Repairers</t>
  </si>
  <si>
    <t>51-6042</t>
  </si>
  <si>
    <t>Shoe Machine Operators and Tenders</t>
  </si>
  <si>
    <t>51-4021</t>
  </si>
  <si>
    <t>Extruding and Drawing Machine Setters, Operators, and Tenders, Metal and Plastic</t>
  </si>
  <si>
    <t>51-4022</t>
  </si>
  <si>
    <t>Forging Machine Setters, Operators, and Tenders, Metal and Plastic</t>
  </si>
  <si>
    <t>51-4023</t>
  </si>
  <si>
    <t>Rolling Machine Setters, Operators, and Tenders, Metal and Plastic</t>
  </si>
  <si>
    <t>51-4031</t>
  </si>
  <si>
    <t>Cutting, Punching, and Press Machine Setters, Operators, and Tenders, Metal and Plastic</t>
  </si>
  <si>
    <t>51-4032</t>
  </si>
  <si>
    <t>Drilling and Boring Machine Tool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</si>
  <si>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</si>
  <si>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</si>
  <si>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</si>
  <si>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</si>
  <si>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</si>
  <si>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</si>
  <si>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</si>
  <si>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</si>
  <si>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51-4081</t>
  </si>
  <si>
    <t>Multiple Machine Tool Setters, Operators, and Tenders, Metal and Plastic</t>
  </si>
  <si>
    <t>51-4191</t>
  </si>
  <si>
    <t>Heat Treating Equipment Setters, Operators, and Tenders, Metal and Plastic</t>
  </si>
  <si>
    <t>51-4192</t>
  </si>
  <si>
    <t>Layout Workers, Metal and Plastic</t>
  </si>
  <si>
    <t>51-4199</t>
  </si>
  <si>
    <t>Metal Workers and Plastic Workers, All Other</t>
  </si>
  <si>
    <t>51-2041</t>
  </si>
  <si>
    <t>Structural Metal Fabricators and Fitters</t>
  </si>
  <si>
    <t>51-4194</t>
  </si>
  <si>
    <t>Tool Grinders, Filers, and Sharpeners</t>
  </si>
  <si>
    <t>51-9161</t>
  </si>
  <si>
    <t>Computer Numerically Controlled Tool Operators</t>
  </si>
  <si>
    <t>47-2211</t>
  </si>
  <si>
    <t>Sheet Metal Workers</t>
  </si>
  <si>
    <t>51-4061</t>
  </si>
  <si>
    <t>Model Makers, Metal and Plastic</t>
  </si>
  <si>
    <t>51-4062</t>
  </si>
  <si>
    <t>Patternmakers, Metal and Plastic</t>
  </si>
  <si>
    <t>51-4111</t>
  </si>
  <si>
    <t>Tool and Die Makers</t>
  </si>
  <si>
    <t>51-4122</t>
  </si>
  <si>
    <t>Welding, Soldering, and Brazing Machine Setters, Operators, and Tenders</t>
  </si>
  <si>
    <t>51-4071</t>
  </si>
  <si>
    <t>Foundry Mold and Coremakers</t>
  </si>
  <si>
    <t>51-9162</t>
  </si>
  <si>
    <t>Computer Numerically Controlled Tool Programmers</t>
  </si>
  <si>
    <t>51-7042</t>
  </si>
  <si>
    <t>Woodworking Machine Setters, Operators, and Tenders, Except Sawing</t>
  </si>
  <si>
    <t>51-7099</t>
  </si>
  <si>
    <t>Woodworkers, All Other</t>
  </si>
  <si>
    <t>51-7021</t>
  </si>
  <si>
    <t>Furniture Finishers</t>
  </si>
  <si>
    <t>51-7011</t>
  </si>
  <si>
    <t>Cabinetmakers and Bench Carpenters</t>
  </si>
  <si>
    <t>51-7031</t>
  </si>
  <si>
    <t>Model Makers, Wood</t>
  </si>
  <si>
    <t>51-7032</t>
  </si>
  <si>
    <t>Patternmakers, Wood</t>
  </si>
  <si>
    <t>51-7041</t>
  </si>
  <si>
    <t>Sawing Machine Setters, Operators, and Tenders, Wood</t>
  </si>
  <si>
    <t>48.0704</t>
  </si>
  <si>
    <t>47-2011</t>
  </si>
  <si>
    <t>Boilermakers</t>
  </si>
  <si>
    <t>53-2011</t>
  </si>
  <si>
    <t>Airline Pilots, Copilots, and Flight Engineers</t>
  </si>
  <si>
    <t>53-2012</t>
  </si>
  <si>
    <t>Commercial Pilots</t>
  </si>
  <si>
    <t>53-2021</t>
  </si>
  <si>
    <t>Air Traffic Controllers</t>
  </si>
  <si>
    <t>53-2022</t>
  </si>
  <si>
    <t>Airfield Operations Specialists</t>
  </si>
  <si>
    <t>53-1044</t>
  </si>
  <si>
    <t>First-Line Supervisors of Passenger Attendants</t>
  </si>
  <si>
    <t>53-2031</t>
  </si>
  <si>
    <t>Flight Attendants</t>
  </si>
  <si>
    <t>45-4022</t>
  </si>
  <si>
    <t>Logging Equipment Operators</t>
  </si>
  <si>
    <t>47-2071</t>
  </si>
  <si>
    <t>Paving, Surfacing, and Tamping Equipment Operators</t>
  </si>
  <si>
    <t>47-2072</t>
  </si>
  <si>
    <t>Pile Driver Operators</t>
  </si>
  <si>
    <t>47-2073</t>
  </si>
  <si>
    <t>Operating Engineers and Other Construction Equipment Operators</t>
  </si>
  <si>
    <t>47-4051</t>
  </si>
  <si>
    <t>Highway Maintenance Workers</t>
  </si>
  <si>
    <t>47-4061</t>
  </si>
  <si>
    <t>Rail-Track Laying and Maintenance Equipment Operators</t>
  </si>
  <si>
    <t>47-5022</t>
  </si>
  <si>
    <t>Excavating and Loading Machine and Dragline Operators, Surface Mining</t>
  </si>
  <si>
    <t>47-5041</t>
  </si>
  <si>
    <t>Continuous Mining Machine Operators</t>
  </si>
  <si>
    <t>47-5049</t>
  </si>
  <si>
    <t>Underground Mining Machine Operators, All Other</t>
  </si>
  <si>
    <t>47-5099</t>
  </si>
  <si>
    <t>Extraction Workers, All Other</t>
  </si>
  <si>
    <t>53-7021</t>
  </si>
  <si>
    <t>Crane and Tower Operators</t>
  </si>
  <si>
    <t>53-7031</t>
  </si>
  <si>
    <t>Dredge Operators</t>
  </si>
  <si>
    <t>53-7041</t>
  </si>
  <si>
    <t>Hoist and Winch Operators</t>
  </si>
  <si>
    <t>53-7199</t>
  </si>
  <si>
    <t>Material Moving Workers, All Other</t>
  </si>
  <si>
    <t>53-3032</t>
  </si>
  <si>
    <t>Heavy and Tractor-Trailer Truck Drivers</t>
  </si>
  <si>
    <t>53-3033</t>
  </si>
  <si>
    <t>Light Truck Drivers</t>
  </si>
  <si>
    <t>53-3051</t>
  </si>
  <si>
    <t>Bus Drivers, School</t>
  </si>
  <si>
    <t>53-3052</t>
  </si>
  <si>
    <t>Bus Drivers, Transit and Intercity</t>
  </si>
  <si>
    <t>53-3053</t>
  </si>
  <si>
    <t>Shuttle Drivers and Chauffeurs</t>
  </si>
  <si>
    <t>53-1043</t>
  </si>
  <si>
    <t>First-Line Supervisors of Material-Moving Machine and Vehicle Operators</t>
  </si>
  <si>
    <t>53-1049</t>
  </si>
  <si>
    <t>First-Line Supervisors of Transportation Workers, All Other</t>
  </si>
  <si>
    <t>53-4011</t>
  </si>
  <si>
    <t>Locomotive Engineers</t>
  </si>
  <si>
    <t>53-4013</t>
  </si>
  <si>
    <t>Rail Yard Engineers, Dinkey Operators, and Hostlers</t>
  </si>
  <si>
    <t>53-4022</t>
  </si>
  <si>
    <t>Railroad Brake, Signal, and Switch Operators and Locomotive Firers</t>
  </si>
  <si>
    <t>53-4031</t>
  </si>
  <si>
    <t>Railroad Conductors and Yardmasters</t>
  </si>
  <si>
    <t>53-4041</t>
  </si>
  <si>
    <t>Subway and Streetcar Operators</t>
  </si>
  <si>
    <t>53-4099</t>
  </si>
  <si>
    <t>Rail Transportation Workers, All Other</t>
  </si>
  <si>
    <t>49.0209</t>
  </si>
  <si>
    <t>53-7051</t>
  </si>
  <si>
    <t>Industrial Truck and Tractor Operators</t>
  </si>
  <si>
    <t>53-5021</t>
  </si>
  <si>
    <t>Captains, Mates, and Pilots of Water Vessels</t>
  </si>
  <si>
    <t>49-9092</t>
  </si>
  <si>
    <t>Commercial Divers</t>
  </si>
  <si>
    <t>53-5022</t>
  </si>
  <si>
    <t>Motorboat Operators</t>
  </si>
  <si>
    <t>53-5031</t>
  </si>
  <si>
    <t>Ship Engineers</t>
  </si>
  <si>
    <t>27-1012</t>
  </si>
  <si>
    <t>Craft Artists</t>
  </si>
  <si>
    <t>27-1013</t>
  </si>
  <si>
    <t>Fine Artists, Including Painters, Sculptors, and Illustrators</t>
  </si>
  <si>
    <t>27-1019</t>
  </si>
  <si>
    <t>Artists and Related Workers, All Other</t>
  </si>
  <si>
    <t>27-1011</t>
  </si>
  <si>
    <t>Art Directors</t>
  </si>
  <si>
    <t>27-2031</t>
  </si>
  <si>
    <t>Dancers</t>
  </si>
  <si>
    <t>27-2032</t>
  </si>
  <si>
    <t>Choreographers</t>
  </si>
  <si>
    <t>27-1027</t>
  </si>
  <si>
    <t>Set and Exhibit Designers</t>
  </si>
  <si>
    <t>27-1029</t>
  </si>
  <si>
    <t>Designers, All Other</t>
  </si>
  <si>
    <t>27-2011</t>
  </si>
  <si>
    <t>Actors</t>
  </si>
  <si>
    <t>27-2042</t>
  </si>
  <si>
    <t>Musicians and Singers</t>
  </si>
  <si>
    <t>50.0511</t>
  </si>
  <si>
    <t>50.0512</t>
  </si>
  <si>
    <t>39-3092</t>
  </si>
  <si>
    <t>Costume Attendants</t>
  </si>
  <si>
    <t>13-2022</t>
  </si>
  <si>
    <t>Appraisers of Personal and Business Property</t>
  </si>
  <si>
    <t>50.0714</t>
  </si>
  <si>
    <t>50.0917</t>
  </si>
  <si>
    <t>50.1101</t>
  </si>
  <si>
    <t>29-1011</t>
  </si>
  <si>
    <t>Chiropractors</t>
  </si>
  <si>
    <t>29-1127</t>
  </si>
  <si>
    <t>Speech-Language Pathologists</t>
  </si>
  <si>
    <t>29-1181</t>
  </si>
  <si>
    <t>Audiologists</t>
  </si>
  <si>
    <t>29-1021</t>
  </si>
  <si>
    <t>Dentists, General</t>
  </si>
  <si>
    <t>29-1029</t>
  </si>
  <si>
    <t>Dentists, All Other Specialists</t>
  </si>
  <si>
    <t>29-1022</t>
  </si>
  <si>
    <t>Oral and Maxillofacial Surgeons</t>
  </si>
  <si>
    <t>29-1023</t>
  </si>
  <si>
    <t>Orthodontists</t>
  </si>
  <si>
    <t>29-1024</t>
  </si>
  <si>
    <t>Prosthodontists</t>
  </si>
  <si>
    <t>51.0512</t>
  </si>
  <si>
    <t>51.0513</t>
  </si>
  <si>
    <t>51.0514</t>
  </si>
  <si>
    <t>31-9091</t>
  </si>
  <si>
    <t>Dental Assistants</t>
  </si>
  <si>
    <t>29-1292</t>
  </si>
  <si>
    <t>Dental Hygienists</t>
  </si>
  <si>
    <t>51-9081</t>
  </si>
  <si>
    <t>Dental Laboratory Technicians</t>
  </si>
  <si>
    <t>31-9099</t>
  </si>
  <si>
    <t>Healthcare Support Workers, All Other</t>
  </si>
  <si>
    <t>29-2072</t>
  </si>
  <si>
    <t>Medical Records Specialists</t>
  </si>
  <si>
    <t>29-9021</t>
  </si>
  <si>
    <t>Health Information Technologists and Medical Registrars</t>
  </si>
  <si>
    <t>31-9094</t>
  </si>
  <si>
    <t>Medical Transcriptionists</t>
  </si>
  <si>
    <t>29-9099</t>
  </si>
  <si>
    <t>Healthcare Practitioners and Technical Workers, All Other</t>
  </si>
  <si>
    <t>31-9092</t>
  </si>
  <si>
    <t>Medical Assistants</t>
  </si>
  <si>
    <t>13-1031</t>
  </si>
  <si>
    <t>Claims Adjusters, Examiners, and Investigators</t>
  </si>
  <si>
    <t>51.0720</t>
  </si>
  <si>
    <t>51.0721</t>
  </si>
  <si>
    <t>51.0722</t>
  </si>
  <si>
    <t>51.0723</t>
  </si>
  <si>
    <t>29-2012</t>
  </si>
  <si>
    <t>Medical and Clinical Laboratory Technicians</t>
  </si>
  <si>
    <t>31-2011</t>
  </si>
  <si>
    <t>Occupational Therapy Assistants</t>
  </si>
  <si>
    <t>29-2052</t>
  </si>
  <si>
    <t>Pharmacy Technicians</t>
  </si>
  <si>
    <t>31-2021</t>
  </si>
  <si>
    <t>Physical Therapist Assistants</t>
  </si>
  <si>
    <t>53-3011</t>
  </si>
  <si>
    <t>Ambulance Drivers and Attendants, Except Emergency Medical Technicians</t>
  </si>
  <si>
    <t>29-2055</t>
  </si>
  <si>
    <t>Surgical Technologists</t>
  </si>
  <si>
    <t>29-2099</t>
  </si>
  <si>
    <t>Health Technologists and Technicians, All Other</t>
  </si>
  <si>
    <t>29-2031</t>
  </si>
  <si>
    <t>Cardiovascular Technologists and Technicians</t>
  </si>
  <si>
    <t>29-2042</t>
  </si>
  <si>
    <t>Emergency Medical Technicians</t>
  </si>
  <si>
    <t>29-2043</t>
  </si>
  <si>
    <t>Paramedics</t>
  </si>
  <si>
    <t>29-2033</t>
  </si>
  <si>
    <t>Nuclear Medicine Technologists</t>
  </si>
  <si>
    <t>29-1124</t>
  </si>
  <si>
    <t>Radiation Therapists</t>
  </si>
  <si>
    <t>29-2034</t>
  </si>
  <si>
    <t>Radiologic Technologists and Technicians</t>
  </si>
  <si>
    <t>29-2036</t>
  </si>
  <si>
    <t>Medical Dosimetrists</t>
  </si>
  <si>
    <t>29-1126</t>
  </si>
  <si>
    <t>Respiratory Therapists</t>
  </si>
  <si>
    <t>29-9093</t>
  </si>
  <si>
    <t>Surgical Assistants</t>
  </si>
  <si>
    <t>29-2032</t>
  </si>
  <si>
    <t>Diagnostic Medical Sonographers</t>
  </si>
  <si>
    <t>29-1071</t>
  </si>
  <si>
    <t>Physician Assistants</t>
  </si>
  <si>
    <t>29-2092</t>
  </si>
  <si>
    <t>Hearing Aid Specialists</t>
  </si>
  <si>
    <t>29-2035</t>
  </si>
  <si>
    <t>Magnetic Resonance Imaging Technologists</t>
  </si>
  <si>
    <t>51.0921</t>
  </si>
  <si>
    <t>51.0922</t>
  </si>
  <si>
    <t>51.0923</t>
  </si>
  <si>
    <t>51-9083</t>
  </si>
  <si>
    <t>Ophthalmic Laboratory Technicians</t>
  </si>
  <si>
    <t>31-9097</t>
  </si>
  <si>
    <t>Phlebotomists</t>
  </si>
  <si>
    <t>31-9093</t>
  </si>
  <si>
    <t>Medical Equipment Preparers</t>
  </si>
  <si>
    <t>51.1110</t>
  </si>
  <si>
    <t>51.1111</t>
  </si>
  <si>
    <t>29-1211</t>
  </si>
  <si>
    <t>Anesthesiologists</t>
  </si>
  <si>
    <t>29-1212</t>
  </si>
  <si>
    <t>Cardiologists</t>
  </si>
  <si>
    <t>29-1213</t>
  </si>
  <si>
    <t>Dermatologists</t>
  </si>
  <si>
    <t>29-1214</t>
  </si>
  <si>
    <t>Emergency Medicine Physicians</t>
  </si>
  <si>
    <t>29-1215</t>
  </si>
  <si>
    <t>Family Medicine Physicians</t>
  </si>
  <si>
    <t>29-1216</t>
  </si>
  <si>
    <t>General Internal Medicine Physicians</t>
  </si>
  <si>
    <t>29-1217</t>
  </si>
  <si>
    <t>Neurologists</t>
  </si>
  <si>
    <t>29-1218</t>
  </si>
  <si>
    <t>Obstetricians and Gynecologists</t>
  </si>
  <si>
    <t>29-1221</t>
  </si>
  <si>
    <t>Pediatricians, General</t>
  </si>
  <si>
    <t>29-1222</t>
  </si>
  <si>
    <t>Physicians, Pathologists</t>
  </si>
  <si>
    <t>29-1223</t>
  </si>
  <si>
    <t>Psychiatrists</t>
  </si>
  <si>
    <t>29-1224</t>
  </si>
  <si>
    <t>Radiologists</t>
  </si>
  <si>
    <t>29-1229</t>
  </si>
  <si>
    <t>Physicians, All Other</t>
  </si>
  <si>
    <t>29-1241</t>
  </si>
  <si>
    <t>Ophthalmologists, Except Pediatric</t>
  </si>
  <si>
    <t>29-1242</t>
  </si>
  <si>
    <t>Orthopedic Surgeons, Except Pediatric</t>
  </si>
  <si>
    <t>29-1243</t>
  </si>
  <si>
    <t>Pediatric Surgeons</t>
  </si>
  <si>
    <t>29-1249</t>
  </si>
  <si>
    <t>Surgeons, All Other</t>
  </si>
  <si>
    <t>51.1202</t>
  </si>
  <si>
    <t>51.1203</t>
  </si>
  <si>
    <t>29-1081</t>
  </si>
  <si>
    <t>Podiatrists</t>
  </si>
  <si>
    <t>51.1299</t>
  </si>
  <si>
    <t>51.1402</t>
  </si>
  <si>
    <t>51.1403</t>
  </si>
  <si>
    <t>51.1404</t>
  </si>
  <si>
    <t>51.1405</t>
  </si>
  <si>
    <t>51.1499</t>
  </si>
  <si>
    <t>21-1011</t>
  </si>
  <si>
    <t>Substance Abuse and Behavioral Disorder Counselors</t>
  </si>
  <si>
    <t>29-2053</t>
  </si>
  <si>
    <t>Psychiatric Technicians</t>
  </si>
  <si>
    <t>31-1133</t>
  </si>
  <si>
    <t>Psychiatric Aides</t>
  </si>
  <si>
    <t>51.1510</t>
  </si>
  <si>
    <t>51.1511</t>
  </si>
  <si>
    <t>51.1512</t>
  </si>
  <si>
    <t>51.1513</t>
  </si>
  <si>
    <t>29-1041</t>
  </si>
  <si>
    <t>Optometrists</t>
  </si>
  <si>
    <t>29-2081</t>
  </si>
  <si>
    <t>Opticians, Dispensing</t>
  </si>
  <si>
    <t>29-2057</t>
  </si>
  <si>
    <t>Ophthalmic Medical Technicians</t>
  </si>
  <si>
    <t>29-1051</t>
  </si>
  <si>
    <t>Pharmacists</t>
  </si>
  <si>
    <t>51.2213</t>
  </si>
  <si>
    <t>51.2214</t>
  </si>
  <si>
    <t>51.2300</t>
  </si>
  <si>
    <t>29-1129</t>
  </si>
  <si>
    <t>Therapists, All Other</t>
  </si>
  <si>
    <t>29-1122</t>
  </si>
  <si>
    <t>Occupational Therapists</t>
  </si>
  <si>
    <t>29-2091</t>
  </si>
  <si>
    <t>Orthotists and Prosthetists</t>
  </si>
  <si>
    <t>51-9082</t>
  </si>
  <si>
    <t>Medical Appliance Technicians</t>
  </si>
  <si>
    <t>29-1123</t>
  </si>
  <si>
    <t>Physical Therapists</t>
  </si>
  <si>
    <t>29-1125</t>
  </si>
  <si>
    <t>Recreational Therapists</t>
  </si>
  <si>
    <t>21-1015</t>
  </si>
  <si>
    <t>Rehabilitation Counselors</t>
  </si>
  <si>
    <t>51.2315</t>
  </si>
  <si>
    <t>51.2316</t>
  </si>
  <si>
    <t>51.2317</t>
  </si>
  <si>
    <t>31-1131</t>
  </si>
  <si>
    <t>Nursing Assistants</t>
  </si>
  <si>
    <t>31-1121</t>
  </si>
  <si>
    <t>Home Health Aides</t>
  </si>
  <si>
    <t>31-1122</t>
  </si>
  <si>
    <t>Personal Care Aides</t>
  </si>
  <si>
    <t>31-2012</t>
  </si>
  <si>
    <t>Occupational Therapy Aides</t>
  </si>
  <si>
    <t>31-2022</t>
  </si>
  <si>
    <t>Physical Therapist Aides</t>
  </si>
  <si>
    <t>51.2605</t>
  </si>
  <si>
    <t>51.3202</t>
  </si>
  <si>
    <t>51.3203</t>
  </si>
  <si>
    <t>25-1072</t>
  </si>
  <si>
    <t>Nursing Instructors and Teachers, Postsecondary</t>
  </si>
  <si>
    <t>51.3204</t>
  </si>
  <si>
    <t>51.3205</t>
  </si>
  <si>
    <t>51.3206</t>
  </si>
  <si>
    <t>51.3299</t>
  </si>
  <si>
    <t>29-1299</t>
  </si>
  <si>
    <t>Healthcare Diagnosing or Treating Practitioners, All Other</t>
  </si>
  <si>
    <t>29-1291</t>
  </si>
  <si>
    <t>Acupuncturists</t>
  </si>
  <si>
    <t>31-9011</t>
  </si>
  <si>
    <t>Massage Therapists</t>
  </si>
  <si>
    <t>29-1141</t>
  </si>
  <si>
    <t>Registered Nurses</t>
  </si>
  <si>
    <t>29-1171</t>
  </si>
  <si>
    <t>Nurse Practitioners</t>
  </si>
  <si>
    <t>29-1151</t>
  </si>
  <si>
    <t>Nurse Anesthetists</t>
  </si>
  <si>
    <t>29-1161</t>
  </si>
  <si>
    <t>Nurse Midwives</t>
  </si>
  <si>
    <t>Women's Health Nurse/Nursing.</t>
  </si>
  <si>
    <t>51.3824</t>
  </si>
  <si>
    <t>29-2061</t>
  </si>
  <si>
    <t>Licensed Practical and Licensed Vocational Nurses</t>
  </si>
  <si>
    <t>11-3111</t>
  </si>
  <si>
    <t>Compensation and Benefits Managers</t>
  </si>
  <si>
    <t>13-1081</t>
  </si>
  <si>
    <t>Logisticians</t>
  </si>
  <si>
    <t>13-1141</t>
  </si>
  <si>
    <t>Compensation, Benefits, and Job Analysis Specialists</t>
  </si>
  <si>
    <t>13-1199</t>
  </si>
  <si>
    <t>Business Operations Specialists, All Other</t>
  </si>
  <si>
    <t>11-3061</t>
  </si>
  <si>
    <t>Purchasing Managers</t>
  </si>
  <si>
    <t>13-1023</t>
  </si>
  <si>
    <t>Purchasing Agents, Except Wholesale, Retail, and Farm Products</t>
  </si>
  <si>
    <t>51-1011</t>
  </si>
  <si>
    <t>First-Line Supervisors of Production and Operating Workers</t>
  </si>
  <si>
    <t>52.0214</t>
  </si>
  <si>
    <t>52.0215</t>
  </si>
  <si>
    <t>13-2053</t>
  </si>
  <si>
    <t>Insurance Underwriters</t>
  </si>
  <si>
    <t>52.0216</t>
  </si>
  <si>
    <t>13-2031</t>
  </si>
  <si>
    <t>Budget Analysts</t>
  </si>
  <si>
    <t>13-2041</t>
  </si>
  <si>
    <t>Credit Analysts</t>
  </si>
  <si>
    <t>13-2081</t>
  </si>
  <si>
    <t>Tax Examiners and Collectors, and Revenue Agents</t>
  </si>
  <si>
    <t>13-2082</t>
  </si>
  <si>
    <t>Tax Preparers</t>
  </si>
  <si>
    <t>43-3031</t>
  </si>
  <si>
    <t>Bookkeeping, Accounting, and Auditing Clerks</t>
  </si>
  <si>
    <t>43-3051</t>
  </si>
  <si>
    <t>Payroll and Timekeeping Clerks</t>
  </si>
  <si>
    <t>43-4011</t>
  </si>
  <si>
    <t>Brokerage Clerks</t>
  </si>
  <si>
    <t>43-9111</t>
  </si>
  <si>
    <t>Statistical Assistants</t>
  </si>
  <si>
    <t>43-4161</t>
  </si>
  <si>
    <t>Human Resources Assistants, Except Payroll and Timekeeping</t>
  </si>
  <si>
    <t>43-6011</t>
  </si>
  <si>
    <t>Executive Secretaries and Executive Administrative Assistants</t>
  </si>
  <si>
    <t>43-6014</t>
  </si>
  <si>
    <t>Secretaries and Administrative Assistants, Except Legal, Medical, and Executive</t>
  </si>
  <si>
    <t>43-4051</t>
  </si>
  <si>
    <t>Customer Service Representatives</t>
  </si>
  <si>
    <t>43-4151</t>
  </si>
  <si>
    <t>Order Clerks</t>
  </si>
  <si>
    <t>43-3061</t>
  </si>
  <si>
    <t>Procurement Clerks</t>
  </si>
  <si>
    <t>43-4021</t>
  </si>
  <si>
    <t>Correspondence Clerks</t>
  </si>
  <si>
    <t>43-4071</t>
  </si>
  <si>
    <t>File Clerks</t>
  </si>
  <si>
    <t>43-5011</t>
  </si>
  <si>
    <t>Cargo and Freight Agents</t>
  </si>
  <si>
    <t>43-9041</t>
  </si>
  <si>
    <t>Insurance Claims and Policy Processing Clerks</t>
  </si>
  <si>
    <t>43-9061</t>
  </si>
  <si>
    <t>Office Clerks, General</t>
  </si>
  <si>
    <t>43-5061</t>
  </si>
  <si>
    <t>Production, Planning, and Expediting Clerks</t>
  </si>
  <si>
    <t>43-5032</t>
  </si>
  <si>
    <t>Dispatchers, Except Police, Fire, and Ambulance</t>
  </si>
  <si>
    <t>52.0502</t>
  </si>
  <si>
    <t>52.0599</t>
  </si>
  <si>
    <t>52.0704</t>
  </si>
  <si>
    <t>13-2072</t>
  </si>
  <si>
    <t>Loan Officers</t>
  </si>
  <si>
    <t>13-2071</t>
  </si>
  <si>
    <t>Credit Counselors</t>
  </si>
  <si>
    <t>43-3011</t>
  </si>
  <si>
    <t>Bill and Account Collectors</t>
  </si>
  <si>
    <t>43-3071</t>
  </si>
  <si>
    <t>Tellers</t>
  </si>
  <si>
    <t>43-4041</t>
  </si>
  <si>
    <t>Credit Authorizers, Checkers, and Clerks</t>
  </si>
  <si>
    <t>43-4131</t>
  </si>
  <si>
    <t>Loan Interviewers and Clerks</t>
  </si>
  <si>
    <t>43-4141</t>
  </si>
  <si>
    <t>New Accounts Clerks</t>
  </si>
  <si>
    <t>41-3031</t>
  </si>
  <si>
    <t>Securities, Commodities, and Financial Services Sales Agents</t>
  </si>
  <si>
    <t>52.0810</t>
  </si>
  <si>
    <t>11-9081</t>
  </si>
  <si>
    <t>Lodging Managers</t>
  </si>
  <si>
    <t>39-7012</t>
  </si>
  <si>
    <t>Travel Guides</t>
  </si>
  <si>
    <t>11-9071</t>
  </si>
  <si>
    <t>Gambling Managers</t>
  </si>
  <si>
    <t>52.0910</t>
  </si>
  <si>
    <t>52.1006</t>
  </si>
  <si>
    <t>52.1404</t>
  </si>
  <si>
    <t>41-3021</t>
  </si>
  <si>
    <t>Insurance Sales Agents</t>
  </si>
  <si>
    <t>41-3091</t>
  </si>
  <si>
    <t>Sales Representatives of Services, Except Advertising, Insurance, Financial Services, and Travel</t>
  </si>
  <si>
    <t>41-9011</t>
  </si>
  <si>
    <t>Demonstrators and Product Promoters</t>
  </si>
  <si>
    <t>41-9099</t>
  </si>
  <si>
    <t>Sales and Related Workers, All Other</t>
  </si>
  <si>
    <t>41-1012</t>
  </si>
  <si>
    <t>First-Line Supervisors of Non-Retail Sales Workers</t>
  </si>
  <si>
    <t>41-2022</t>
  </si>
  <si>
    <t>Parts Salespersons</t>
  </si>
  <si>
    <t>41-3011</t>
  </si>
  <si>
    <t>Advertising Sales Agents</t>
  </si>
  <si>
    <t>41-3041</t>
  </si>
  <si>
    <t>Travel Agents</t>
  </si>
  <si>
    <t>41-4011</t>
  </si>
  <si>
    <t>Sales Representatives, Wholesale and Manufacturing, Technical and Scientific Products</t>
  </si>
  <si>
    <t>27-1026</t>
  </si>
  <si>
    <t>Merchandise Displayers and Window Trimmers</t>
  </si>
  <si>
    <t>41-9012</t>
  </si>
  <si>
    <t>Models</t>
  </si>
  <si>
    <t>52.2002</t>
  </si>
  <si>
    <t>52.2099</t>
  </si>
  <si>
    <t>60.0110</t>
  </si>
  <si>
    <t>60.0701</t>
  </si>
  <si>
    <t>Nurse Practitioner Residency/Fellowship Program, General.</t>
  </si>
  <si>
    <t>60.0702</t>
  </si>
  <si>
    <t>Combined Nurse Practitioner Residency/Fellowship Program.</t>
  </si>
  <si>
    <t>60.0703</t>
  </si>
  <si>
    <t>Acute Care Nurse Practitioner Residency/Fellowship Program.</t>
  </si>
  <si>
    <t>60.0704</t>
  </si>
  <si>
    <t>Adult/Gerontology Acute Care Nurse Practitioner Residency/Fellowship Program.</t>
  </si>
  <si>
    <t>60.0705</t>
  </si>
  <si>
    <t>Adult/Gerontology Critical Care Nurse Practitioner Residency/Fellowship Program.</t>
  </si>
  <si>
    <t>60.0706</t>
  </si>
  <si>
    <t>Cardiology/Cardiovascular Nurse Practitioner Residency/Fellowship Program.</t>
  </si>
  <si>
    <t>60.0707</t>
  </si>
  <si>
    <t>Clinical Informatics Nurse Practitioner Residency/Fellowship Program.</t>
  </si>
  <si>
    <t>60.0708</t>
  </si>
  <si>
    <t>Dermatology Nurse Practitioner Residency/Fellowship Program.</t>
  </si>
  <si>
    <t>60.0709</t>
  </si>
  <si>
    <t>Developmental and Behavioral Pediatrics Nurse Practitioner Residency/Fellowship Program.</t>
  </si>
  <si>
    <t>60.0710</t>
  </si>
  <si>
    <t>Diabetes Nurse Practitioner Residency/Fellowship Program.</t>
  </si>
  <si>
    <t>60.0711</t>
  </si>
  <si>
    <t>Emergency Medicine Nurse Practitioner Residency/Fellowship Program.</t>
  </si>
  <si>
    <t>60.0712</t>
  </si>
  <si>
    <t>Endocrinology Nurse Practitioner Residency/Fellowship Program.</t>
  </si>
  <si>
    <t>60.0713</t>
  </si>
  <si>
    <t>Family Medicine Nurse Practitioner Residency/Fellowship Program.</t>
  </si>
  <si>
    <t>60.0714</t>
  </si>
  <si>
    <t>Gastroenterology and Hepatology Nurse Practitioner Residency/Fellowship Program.</t>
  </si>
  <si>
    <t>60.0715</t>
  </si>
  <si>
    <t>Gastroenterology Nurse Practitioner Residency/Fellowship Program.</t>
  </si>
  <si>
    <t>60.0716</t>
  </si>
  <si>
    <t>Genetics Nurse Practitioner Residency/Fellowship Program.</t>
  </si>
  <si>
    <t>60.0717</t>
  </si>
  <si>
    <t>Gerontology Nurse Practitioner Residency/Fellowship Program.</t>
  </si>
  <si>
    <t>60.0718</t>
  </si>
  <si>
    <t>Global Health Nurse Practitioner Residency/Fellowship Program.</t>
  </si>
  <si>
    <t>60.0719</t>
  </si>
  <si>
    <t>Hematology-Oncology Nurse Practitioner Residency/Fellowship Program.</t>
  </si>
  <si>
    <t>60.0720</t>
  </si>
  <si>
    <t>Hepatology Nurse Practitioner Residency/Fellowship Program.</t>
  </si>
  <si>
    <t>60.0721</t>
  </si>
  <si>
    <t>Home-Based Primary Care Nurse Practitioner Residency/Fellowship Program.</t>
  </si>
  <si>
    <t>60.0722</t>
  </si>
  <si>
    <t>Hospice and Palliative Medicine Nurse Practitioner Residency/Fellowship Program.</t>
  </si>
  <si>
    <t>60.0723</t>
  </si>
  <si>
    <t>Hospital Medicine Nurse Practitioner Residency/Fellowship Program.</t>
  </si>
  <si>
    <t>60.0724</t>
  </si>
  <si>
    <t>Infectious Diseases Nurse Practitioner Residency/Fellowship Program.</t>
  </si>
  <si>
    <t>60.0725</t>
  </si>
  <si>
    <t>Neonatal Nurse Practitioner Residency/Fellowship Program.</t>
  </si>
  <si>
    <t>60.0726</t>
  </si>
  <si>
    <t>Nephrology Nurse Practitioner Residency/Fellowship Program.</t>
  </si>
  <si>
    <t>60.0727</t>
  </si>
  <si>
    <t>Neurology Nurse Practitioner Residency/Fellowship Program.</t>
  </si>
  <si>
    <t>60.0728</t>
  </si>
  <si>
    <t>Neuroscience Nurse Practitioner Residency/Fellowship Program.</t>
  </si>
  <si>
    <t>60.0729</t>
  </si>
  <si>
    <t>Obstetrics and Gynecology Nurse Practitioner Residency/Fellowship Program.</t>
  </si>
  <si>
    <t>60.0730</t>
  </si>
  <si>
    <t>Occupational Health Nurse Practitioner Residency/Fellowship Program.</t>
  </si>
  <si>
    <t>60.0731</t>
  </si>
  <si>
    <t>Orthopedic Nurse Practitioner Residency/Fellowship Program.</t>
  </si>
  <si>
    <t>60.0732</t>
  </si>
  <si>
    <t>Orthopedic Surgery Nurse Practitioner Residency/Fellowship Program.</t>
  </si>
  <si>
    <t>60.0733</t>
  </si>
  <si>
    <t>Pain Management Nurse Practitioner Residency/Fellowship Program.</t>
  </si>
  <si>
    <t>60.0734</t>
  </si>
  <si>
    <t>Palliative Care Nurse Practitioner Residency/Fellowship Program.</t>
  </si>
  <si>
    <t>60.0735</t>
  </si>
  <si>
    <t>Pediatric Hematology-Oncology Nurse Practitioner Residency/Fellowship Program.</t>
  </si>
  <si>
    <t>60.0736</t>
  </si>
  <si>
    <t>Pediatric Nurse Practitioner Residency/Fellowship Program.</t>
  </si>
  <si>
    <t>60.0737</t>
  </si>
  <si>
    <t>Pediatric Rehabilitation Nurse Practitioner Residency/Fellowship Program.</t>
  </si>
  <si>
    <t>60.0738</t>
  </si>
  <si>
    <t>Psychiatric/Mental Health Nurse Practitioner Residency/Fellowship Program.</t>
  </si>
  <si>
    <t>60.0739</t>
  </si>
  <si>
    <t>Public/Community Health Nurse Practitioner Residency/Fellowship Program.</t>
  </si>
  <si>
    <t>60.0740</t>
  </si>
  <si>
    <t>Pulmonary Nurse Practitioner Residency/Fellowship Program.</t>
  </si>
  <si>
    <t>60.0741</t>
  </si>
  <si>
    <t>Rheumatology Nurse Practitioner Residency/Fellowship Program.</t>
  </si>
  <si>
    <t>60.0742</t>
  </si>
  <si>
    <t>Rural Health Nurse Practitioner Residency/Fellowship Program.</t>
  </si>
  <si>
    <t>60.0743</t>
  </si>
  <si>
    <t>Sleep Medicine Nurse Practitioner Residency/Fellowship Program.</t>
  </si>
  <si>
    <t>60.0744</t>
  </si>
  <si>
    <t>Surgical and Critical Care Nurse Practitioner Residency/Fellowship Program.</t>
  </si>
  <si>
    <t>60.0745</t>
  </si>
  <si>
    <t>Surgical Wound and Reconstruction Nurse Practitioner Residency/Fellowship Program.</t>
  </si>
  <si>
    <t>60.0746</t>
  </si>
  <si>
    <t>Transplantation Nurse Practitioner Residency/Fellowship Program.</t>
  </si>
  <si>
    <t>60.0747</t>
  </si>
  <si>
    <t>Trauma and Critical Care Nurse Practitioner Residency/Fellowship Program.</t>
  </si>
  <si>
    <t>60.0748</t>
  </si>
  <si>
    <t>Urgent Care Nurse Practitioner Residency/Fellowship Program.</t>
  </si>
  <si>
    <t>60.0749</t>
  </si>
  <si>
    <t>Urology Nurse Practitioner Residency/Fellowship Program.</t>
  </si>
  <si>
    <t>60.0750</t>
  </si>
  <si>
    <t>Women's Health Nurse Practitioner Residency/Fellowship Program.</t>
  </si>
  <si>
    <t>60.0751</t>
  </si>
  <si>
    <t>Wound Care Nurse Practitioner Residency/Fellowship Program.</t>
  </si>
  <si>
    <t>60.0799</t>
  </si>
  <si>
    <t>Nurse Practitioner Residency/Fellowship Program, Other.</t>
  </si>
  <si>
    <t>60.0801</t>
  </si>
  <si>
    <t>Pharmacy Residency/Fellowship Program, General.</t>
  </si>
  <si>
    <t>60.0802</t>
  </si>
  <si>
    <t>Combined Pharmacy Residency/Fellowship Program.</t>
  </si>
  <si>
    <t>60.0803</t>
  </si>
  <si>
    <t>Ambulatory Care Pharmacy Residency/Fellowship Program.</t>
  </si>
  <si>
    <t>60.0804</t>
  </si>
  <si>
    <t>Cardiology Pharmacy Residency/Fellowship Program.</t>
  </si>
  <si>
    <t>60.0805</t>
  </si>
  <si>
    <t>Clinical Pharmacogenomics Pharmacy Residency/Fellowship Program.</t>
  </si>
  <si>
    <t>60.0806</t>
  </si>
  <si>
    <t>Community/Community-Based Pharmacy Residency/Fellowship Program.</t>
  </si>
  <si>
    <t>60.0807</t>
  </si>
  <si>
    <t>Corporate Pharmacy Leadership Residency/Fellowship Program.</t>
  </si>
  <si>
    <t>60.0808</t>
  </si>
  <si>
    <t>Critical Care Pharmacy Residency/Fellowship Program.</t>
  </si>
  <si>
    <t>60.0809</t>
  </si>
  <si>
    <t>Drug Information Pharmacy Residency/Fellowship Program</t>
  </si>
  <si>
    <t>60.0810</t>
  </si>
  <si>
    <t>Emergency Medicine Pharmacy Residency/Fellowship Program.</t>
  </si>
  <si>
    <t>60.0811</t>
  </si>
  <si>
    <t>Family Medicine Pharmacy Residency/Fellowship Program.</t>
  </si>
  <si>
    <t>60.0812</t>
  </si>
  <si>
    <t>Geriatric Pharmacy Residency/Fellowship Program.</t>
  </si>
  <si>
    <t>60.0813</t>
  </si>
  <si>
    <t>Health System Medication Management Pharmacy Residency/Fellowship Program.</t>
  </si>
  <si>
    <t>60.0814</t>
  </si>
  <si>
    <t>Health System Pharmacy Administration and Leadership Residency/Fellowship Program.</t>
  </si>
  <si>
    <t>60.0815</t>
  </si>
  <si>
    <t>Infectious Diseases Pharmacy Residency/Fellowship Program.</t>
  </si>
  <si>
    <t>60.0816</t>
  </si>
  <si>
    <t>Internal Medicine Pharmacy Residency/Fellowship Program.</t>
  </si>
  <si>
    <t>60.0817</t>
  </si>
  <si>
    <t>Investigational Drugs and Research Pharmacy Residency/Fellowship Program.</t>
  </si>
  <si>
    <t>60.0818</t>
  </si>
  <si>
    <t>Managed Care Pharmacy Residency/Fellowship Program.</t>
  </si>
  <si>
    <t>60.0819</t>
  </si>
  <si>
    <t>Medication Systems and Operations Pharmacy Residency/Fellowship Program.</t>
  </si>
  <si>
    <t>60.0820</t>
  </si>
  <si>
    <t>Medication-Use Safety Pharmacy Residency/Fellowship Program.</t>
  </si>
  <si>
    <t>60.0821</t>
  </si>
  <si>
    <t>Neonatal Pharmacy Residency/Fellowship Program.</t>
  </si>
  <si>
    <t>60.0822</t>
  </si>
  <si>
    <t>Nephrology Pharmacy Residency/Fellowship Program.</t>
  </si>
  <si>
    <t>60.0823</t>
  </si>
  <si>
    <t>Neurology Pharmacy Residency/Fellowship Program.</t>
  </si>
  <si>
    <t>60.0824</t>
  </si>
  <si>
    <t>Nuclear Pharmacy Residency/Fellowship Program.</t>
  </si>
  <si>
    <t>60.0825</t>
  </si>
  <si>
    <t>Nutrition Support Pharmacy Residency/Fellowship Program.</t>
  </si>
  <si>
    <t>60.0826</t>
  </si>
  <si>
    <t>Oncology Pharmacy Residency/Fellowship Program.</t>
  </si>
  <si>
    <t>60.0827</t>
  </si>
  <si>
    <t>Palliative Care/Pain Management Pharmacy Residency/Fellowship Program.</t>
  </si>
  <si>
    <t>60.0828</t>
  </si>
  <si>
    <t>Pediatric Pharmacy Residency/Fellowship Program.</t>
  </si>
  <si>
    <t>60.0829</t>
  </si>
  <si>
    <t>Pharmacotherapy Pharmacy Residency/Fellowship Program.</t>
  </si>
  <si>
    <t>60.0830</t>
  </si>
  <si>
    <t>Pharmacy Informatics Pharmacy Residency/Fellowship Program.</t>
  </si>
  <si>
    <t>60.0831</t>
  </si>
  <si>
    <t>Psychiatric Pharmacy Residency/Fellowship Program.</t>
  </si>
  <si>
    <t>60.0832</t>
  </si>
  <si>
    <t>Transplantation Pharmacy Residency/Fellowship Program.</t>
  </si>
  <si>
    <t>60.0899</t>
  </si>
  <si>
    <t>Pharmacy Residency Programs, Other.</t>
  </si>
  <si>
    <t>60.0901</t>
  </si>
  <si>
    <t>Physician Assistant Residency/Fellowship Program, General.</t>
  </si>
  <si>
    <t>60.0902</t>
  </si>
  <si>
    <t>Combined Physician Assistant Residency/Fellowship Program.</t>
  </si>
  <si>
    <t>60.0903</t>
  </si>
  <si>
    <t>Acute Care Medicine Physician Assistant Residency/Fellowship Program.</t>
  </si>
  <si>
    <t>60.0904</t>
  </si>
  <si>
    <t>Acute Care Surgery Physician Assistant Residency/Fellowship Program.</t>
  </si>
  <si>
    <t>60.0905</t>
  </si>
  <si>
    <t>Cardiology Physician Assistant Residency/Fellowship Program.</t>
  </si>
  <si>
    <t>60.0906</t>
  </si>
  <si>
    <t>Cardiothoracic Surgery Physician Assistant Residency/Fellowship Program.</t>
  </si>
  <si>
    <t>60.0907</t>
  </si>
  <si>
    <t>Critical Care Physician Assistant Residency/Fellowship Program.</t>
  </si>
  <si>
    <t>60.0908</t>
  </si>
  <si>
    <t>Critical Care and Trauma Surgery Physician Assistant Residency/Fellowship Program.</t>
  </si>
  <si>
    <t>60.0909</t>
  </si>
  <si>
    <t>Emergency Medicine Physician Assistant Residency/Fellowship Program.</t>
  </si>
  <si>
    <t>60.0910</t>
  </si>
  <si>
    <t>ENT Surgery Physician Assistant Residency/Fellowship Program.</t>
  </si>
  <si>
    <t>60.0911</t>
  </si>
  <si>
    <t>Family Medicine Physician Assistant Residency/Fellowship Program.</t>
  </si>
  <si>
    <t>60.0912</t>
  </si>
  <si>
    <t>Geriatrics Physician Assistant Residency/Fellowship Program.</t>
  </si>
  <si>
    <t>60.0913</t>
  </si>
  <si>
    <t>Hematology-Oncology Physician Assistant Residency/Fellowship Program.</t>
  </si>
  <si>
    <t>60.0914</t>
  </si>
  <si>
    <t>Hepatobiliary Surgery Physician Assistant Residency/Fellowship Program.</t>
  </si>
  <si>
    <t>60.0915</t>
  </si>
  <si>
    <t>Hospitalist Physician Assistant Residency/Fellowship Program.</t>
  </si>
  <si>
    <t>60.0916</t>
  </si>
  <si>
    <t>Neurosurgery Physician Assistant Residency/Fellowship Program.</t>
  </si>
  <si>
    <t>60.0917</t>
  </si>
  <si>
    <t>Orthopedic Surgery Physician Assistant Residency/Fellowship Program.</t>
  </si>
  <si>
    <t>60.0918</t>
  </si>
  <si>
    <t>Pediatric Surgery Physician Assistant Residency/Fellowship Program.</t>
  </si>
  <si>
    <t>60.0919</t>
  </si>
  <si>
    <t>Transplant Surgery Physician Assistant Residency/Fellowship Program.</t>
  </si>
  <si>
    <t>60.0920</t>
  </si>
  <si>
    <t>Urology Physician Assistant Residency/Fellowship Program.</t>
  </si>
  <si>
    <t>60.0999</t>
  </si>
  <si>
    <t>Physician Assistant Residency/Fellowship Program, Other.</t>
  </si>
  <si>
    <t>60.9999</t>
  </si>
  <si>
    <t>Health Professions Residency/Fellowship Programs, Other.</t>
  </si>
  <si>
    <t>61.0101</t>
  </si>
  <si>
    <t>Combined Medical Residency/Fellowship Program, General.</t>
  </si>
  <si>
    <t>61.0102</t>
  </si>
  <si>
    <t>Diagnostic Radiology/Nuclear Medicine Combined Specialty Program.</t>
  </si>
  <si>
    <t>61.0103</t>
  </si>
  <si>
    <t>Emergency Medicine/Anesthesiology Combined Specialty Program.</t>
  </si>
  <si>
    <t>61.0104</t>
  </si>
  <si>
    <t>Family Medicine/Emergency Medicine Combined Specialty Program.</t>
  </si>
  <si>
    <t>61.0105</t>
  </si>
  <si>
    <t>Family Medicine/Osteopathic Neuromusculoskeletal Medicine Combined Specialty Program.</t>
  </si>
  <si>
    <t>61.0106</t>
  </si>
  <si>
    <t>Family Medicine/Preventive Medicine Combined Specialty Program.</t>
  </si>
  <si>
    <t>61.0107</t>
  </si>
  <si>
    <t>Family Medicine/Psychiatry Combined Specialty Program.</t>
  </si>
  <si>
    <t>61.0108</t>
  </si>
  <si>
    <t>Internal Medicine/Anesthesiology Combined Specialty Program.</t>
  </si>
  <si>
    <t>61.0109</t>
  </si>
  <si>
    <t>Internal Medicine/Dermatology Combined Specialty Program.</t>
  </si>
  <si>
    <t>61.0110</t>
  </si>
  <si>
    <t>Internal Medicine/Emergency Medicine Combined Specialty Program.</t>
  </si>
  <si>
    <t>61.0111</t>
  </si>
  <si>
    <t>Internal Medicine/Emergency Medicine/Critical Care Medicine Combined Specialty Program.</t>
  </si>
  <si>
    <t>61.0112</t>
  </si>
  <si>
    <t>Internal Medicine/Family Medicine Combined Specialty Program.</t>
  </si>
  <si>
    <t>61.0113</t>
  </si>
  <si>
    <t>Internal Medicine/Medical Genetics and Genomics Combined Specialty Program.</t>
  </si>
  <si>
    <t>61.0114</t>
  </si>
  <si>
    <t>Internal Medicine/Neurology Combined Specialty Program.</t>
  </si>
  <si>
    <t>61.0115</t>
  </si>
  <si>
    <t>Internal Medicine/Pediatrics Combined Specialty Program.</t>
  </si>
  <si>
    <t>61.0116</t>
  </si>
  <si>
    <t>Internal Medicine/Preventive Medicine Combined Specialty Program.</t>
  </si>
  <si>
    <t>61.0117</t>
  </si>
  <si>
    <t>Internal Medicine/Psychiatry Combined Specialty Program.</t>
  </si>
  <si>
    <t>61.0118</t>
  </si>
  <si>
    <t>Medical Genetics and Genomics/Maternal-Fetal Medicine Combined Specialty Program.</t>
  </si>
  <si>
    <t>61.0119</t>
  </si>
  <si>
    <t>Pediatrics/Anesthesiology Combined Specialty Program.</t>
  </si>
  <si>
    <t>61.0120</t>
  </si>
  <si>
    <t>Pediatrics/Emergency Medicine Combined Specialty Program.</t>
  </si>
  <si>
    <t>61.0121</t>
  </si>
  <si>
    <t>Pediatrics/Medical Genetics and Genomics Combined Specialty Program.</t>
  </si>
  <si>
    <t>61.0122</t>
  </si>
  <si>
    <t>Pediatrics/Physical Medicine &amp; Rehabilitation Combined Specialty Program.</t>
  </si>
  <si>
    <t>61.0123</t>
  </si>
  <si>
    <t>Pediatrics/Psychology/Child-Adolescent Psychology Combined Specialty Program.</t>
  </si>
  <si>
    <t>61.0124</t>
  </si>
  <si>
    <t>Psychiatry/Neurology Combined Specialty Program.</t>
  </si>
  <si>
    <t>61.0125</t>
  </si>
  <si>
    <t>Reproductive Endocrinology and Infertility/Medical Genetics and Genomics Combined Specialty Program.</t>
  </si>
  <si>
    <t>61.0199</t>
  </si>
  <si>
    <t>Combined Medical Residency/Fellowship Programs, Other.</t>
  </si>
  <si>
    <t>61.0202</t>
  </si>
  <si>
    <t>61.0203</t>
  </si>
  <si>
    <t>61.0204</t>
  </si>
  <si>
    <t>Health Policy Fellowship Program.</t>
  </si>
  <si>
    <t>61.0205</t>
  </si>
  <si>
    <t>61.0206</t>
  </si>
  <si>
    <t>Integrative Medicine Fellowship Program.</t>
  </si>
  <si>
    <t>61.0207</t>
  </si>
  <si>
    <t>Medical Education Fellowship Program.</t>
  </si>
  <si>
    <t>61.0208</t>
  </si>
  <si>
    <t>61.0209</t>
  </si>
  <si>
    <t>61.0210</t>
  </si>
  <si>
    <t>61.0211</t>
  </si>
  <si>
    <t>Simulation Fellowship Program.</t>
  </si>
  <si>
    <t>61.0212</t>
  </si>
  <si>
    <t>61.0213</t>
  </si>
  <si>
    <t>61.0214</t>
  </si>
  <si>
    <t>61.0215</t>
  </si>
  <si>
    <t>Telemedicine Fellowship Program.</t>
  </si>
  <si>
    <t>61.0216</t>
  </si>
  <si>
    <t>61.0217</t>
  </si>
  <si>
    <t>Wilderness Medicine Fellowship Program.</t>
  </si>
  <si>
    <t>61.0218</t>
  </si>
  <si>
    <t>Women's Health Fellowship Program.</t>
  </si>
  <si>
    <t>61.0299</t>
  </si>
  <si>
    <t>Multiple-Pathway Medical Fellowship Programs, Other.</t>
  </si>
  <si>
    <t>61.0301</t>
  </si>
  <si>
    <t>61.0399</t>
  </si>
  <si>
    <t>Allergy and Immunology Residency/Fellowship Programs, Other.</t>
  </si>
  <si>
    <t>61.0401</t>
  </si>
  <si>
    <t>61.0499</t>
  </si>
  <si>
    <t>Anesthesiology Residency/Fellowship Programs, Other.</t>
  </si>
  <si>
    <t>61.0501</t>
  </si>
  <si>
    <t>61.0502</t>
  </si>
  <si>
    <t>61.0503</t>
  </si>
  <si>
    <t>61.0599</t>
  </si>
  <si>
    <t>Dermatology Residency/Fellowship Programs, Other.</t>
  </si>
  <si>
    <t>61.0601</t>
  </si>
  <si>
    <t>61.0602</t>
  </si>
  <si>
    <t>Disaster Medicine Fellowship Program.</t>
  </si>
  <si>
    <t>61.0603</t>
  </si>
  <si>
    <t>Emergency Medical Services Fellowship Program.</t>
  </si>
  <si>
    <t>61.0699</t>
  </si>
  <si>
    <t>Emergency Medicine Residency/Fellowship Programs, Other.</t>
  </si>
  <si>
    <t>61.0701</t>
  </si>
  <si>
    <t>61.0799</t>
  </si>
  <si>
    <t>Family Medicine Residency/Fellowship Programs, Other.</t>
  </si>
  <si>
    <t>61.0801</t>
  </si>
  <si>
    <t>61.0804</t>
  </si>
  <si>
    <t>61.0805</t>
  </si>
  <si>
    <t>61.0806</t>
  </si>
  <si>
    <t>61.0807</t>
  </si>
  <si>
    <t>61.0808</t>
  </si>
  <si>
    <t>61.0809</t>
  </si>
  <si>
    <t>Hematology-Oncology Fellowship Program.</t>
  </si>
  <si>
    <t>61.0810</t>
  </si>
  <si>
    <t>61.0811</t>
  </si>
  <si>
    <t>61.0812</t>
  </si>
  <si>
    <t>61.0813</t>
  </si>
  <si>
    <t>61.0814</t>
  </si>
  <si>
    <t>61.0816</t>
  </si>
  <si>
    <t>61.0818</t>
  </si>
  <si>
    <t>61.0899</t>
  </si>
  <si>
    <t>Internal Medicine Residency/Fellowship Programs, Other.</t>
  </si>
  <si>
    <t>61.0901</t>
  </si>
  <si>
    <t>61.0902</t>
  </si>
  <si>
    <t>61.0903</t>
  </si>
  <si>
    <t>Laboratory Genetics and Genomics Residency Program.</t>
  </si>
  <si>
    <t>61.0904</t>
  </si>
  <si>
    <t>61.0999</t>
  </si>
  <si>
    <t>Medical Genetics and Genomics Residency/Fellowship Programs, Other.</t>
  </si>
  <si>
    <t>61.1001</t>
  </si>
  <si>
    <t>61.1099</t>
  </si>
  <si>
    <t>Neurological Surgery Residency/Fellowship Programs, Other.</t>
  </si>
  <si>
    <t>61.1101</t>
  </si>
  <si>
    <t>61.1102</t>
  </si>
  <si>
    <t>61.1103</t>
  </si>
  <si>
    <t>61.1104</t>
  </si>
  <si>
    <t>Epilepsy Fellowship Program.</t>
  </si>
  <si>
    <t>61.1105</t>
  </si>
  <si>
    <t>Headache Medicine Fellowship Program.</t>
  </si>
  <si>
    <t>61.1106</t>
  </si>
  <si>
    <t>61.1107</t>
  </si>
  <si>
    <t>61.1199</t>
  </si>
  <si>
    <t>Neurology Residency/Fellowship Programs, Other.</t>
  </si>
  <si>
    <t>61.1201</t>
  </si>
  <si>
    <t>61.1299</t>
  </si>
  <si>
    <t>Nuclear Medicine Residency/Fellowship Programs, Other.</t>
  </si>
  <si>
    <t>61.1301</t>
  </si>
  <si>
    <t>61.1302</t>
  </si>
  <si>
    <t>61.1303</t>
  </si>
  <si>
    <t>61.1304</t>
  </si>
  <si>
    <t>61.1399</t>
  </si>
  <si>
    <t>Obstetrics and Gynecology Residency/Fellowship Programs, Other.</t>
  </si>
  <si>
    <t>61.1401</t>
  </si>
  <si>
    <t>61.1499</t>
  </si>
  <si>
    <t>Ophthalmology Residency/Fellowship Programs, Other.</t>
  </si>
  <si>
    <t>61.1501</t>
  </si>
  <si>
    <t>61.1502</t>
  </si>
  <si>
    <t>61.1503</t>
  </si>
  <si>
    <t>61.1504</t>
  </si>
  <si>
    <t>61.1505</t>
  </si>
  <si>
    <t>61.1599</t>
  </si>
  <si>
    <t>Orthopedic Surgery Residency/Fellowship Programs, Other.</t>
  </si>
  <si>
    <t>61.1601</t>
  </si>
  <si>
    <t>Osteopathic Neuromusculoskeletal Medicine Residency Program.</t>
  </si>
  <si>
    <t>61.1699</t>
  </si>
  <si>
    <t>Osteopathic Medicine Residency/Fellowship Programs, Other.</t>
  </si>
  <si>
    <t>61.1701</t>
  </si>
  <si>
    <t>61.1702</t>
  </si>
  <si>
    <t>61.1703</t>
  </si>
  <si>
    <t>61.1799</t>
  </si>
  <si>
    <t>Otolaryngology Residency/Fellowship Programs, Other.</t>
  </si>
  <si>
    <t>61.1801</t>
  </si>
  <si>
    <t>61.1802</t>
  </si>
  <si>
    <t>Anatomic Pathology Residency Program.</t>
  </si>
  <si>
    <t>61.1803</t>
  </si>
  <si>
    <t>Clinical Pathology Residency Program.</t>
  </si>
  <si>
    <t>61.1804</t>
  </si>
  <si>
    <t>61.1805</t>
  </si>
  <si>
    <t>61.1806</t>
  </si>
  <si>
    <t>61.1807</t>
  </si>
  <si>
    <t>61.1808</t>
  </si>
  <si>
    <t>61.1809</t>
  </si>
  <si>
    <t>61.1810</t>
  </si>
  <si>
    <t>61.1811</t>
  </si>
  <si>
    <t>61.1812</t>
  </si>
  <si>
    <t>61.1813</t>
  </si>
  <si>
    <t>61.1814</t>
  </si>
  <si>
    <t>61.1815</t>
  </si>
  <si>
    <t>61.1899</t>
  </si>
  <si>
    <t>Pathology Residency/Fellowship Programs, Other.</t>
  </si>
  <si>
    <t>61.1901</t>
  </si>
  <si>
    <t>61.1902</t>
  </si>
  <si>
    <t>61.1903</t>
  </si>
  <si>
    <t>61.1904</t>
  </si>
  <si>
    <t>61.1905</t>
  </si>
  <si>
    <t>61.1906</t>
  </si>
  <si>
    <t>61.1907</t>
  </si>
  <si>
    <t>61.1908</t>
  </si>
  <si>
    <t>61.1909</t>
  </si>
  <si>
    <t>61.1910</t>
  </si>
  <si>
    <t>61.1911</t>
  </si>
  <si>
    <t>61.1912</t>
  </si>
  <si>
    <t>61.1913</t>
  </si>
  <si>
    <t>61.1914</t>
  </si>
  <si>
    <t>61.1915</t>
  </si>
  <si>
    <t>61.1917</t>
  </si>
  <si>
    <t>61.1999</t>
  </si>
  <si>
    <t>Pediatrics Residency/Fellowship Programs, Other.</t>
  </si>
  <si>
    <t>61.2001</t>
  </si>
  <si>
    <t>61.2002</t>
  </si>
  <si>
    <t>61.2003</t>
  </si>
  <si>
    <t>61.2099</t>
  </si>
  <si>
    <t>Physical Medicine and Rehabilitation Residency/Fellowship Programs, Other.</t>
  </si>
  <si>
    <t>61.2101</t>
  </si>
  <si>
    <t>61.2102</t>
  </si>
  <si>
    <t>Integrated Plastic Surgery Residency Program.</t>
  </si>
  <si>
    <t>61.2103</t>
  </si>
  <si>
    <t>61.2199</t>
  </si>
  <si>
    <t>Plastic Surgery Residency/Fellowship Programs, Other.</t>
  </si>
  <si>
    <t>61.2201</t>
  </si>
  <si>
    <t>Podiatric Medicine and Surgery Residency Program.</t>
  </si>
  <si>
    <t>61.2299</t>
  </si>
  <si>
    <t>Podiatric Medicine Residency/Fellowship Programs, Other.</t>
  </si>
  <si>
    <t>61.2301</t>
  </si>
  <si>
    <t>61.2302</t>
  </si>
  <si>
    <t>61.2303</t>
  </si>
  <si>
    <t>61.2399</t>
  </si>
  <si>
    <t>Preventive Medicine Residency/Fellowship Programs, Other.</t>
  </si>
  <si>
    <t>61.2401</t>
  </si>
  <si>
    <t>61.2402</t>
  </si>
  <si>
    <t>61.2403</t>
  </si>
  <si>
    <t>61.2404</t>
  </si>
  <si>
    <t>61.2405</t>
  </si>
  <si>
    <t>61.2406</t>
  </si>
  <si>
    <t>61.2499</t>
  </si>
  <si>
    <t>Psychiatry Residency/Fellowship Programs, Other.</t>
  </si>
  <si>
    <t>61.2501</t>
  </si>
  <si>
    <t>61.2599</t>
  </si>
  <si>
    <t>Radiation Oncology Residency/Fellowship Programs, Other.</t>
  </si>
  <si>
    <t>61.2601</t>
  </si>
  <si>
    <t>61.2602</t>
  </si>
  <si>
    <t>Integrated Interventional Radiology Residency Program.</t>
  </si>
  <si>
    <t>61.2603</t>
  </si>
  <si>
    <t>Abdominal Radiology Fellowship Program.</t>
  </si>
  <si>
    <t>61.2604</t>
  </si>
  <si>
    <t>61.2605</t>
  </si>
  <si>
    <t>61.2606</t>
  </si>
  <si>
    <t>Musculoskeletal Radiology Fellowship Program.</t>
  </si>
  <si>
    <t>61.2607</t>
  </si>
  <si>
    <t>61.2608</t>
  </si>
  <si>
    <t>61.2609</t>
  </si>
  <si>
    <t>61.2610</t>
  </si>
  <si>
    <t>61.2611</t>
  </si>
  <si>
    <t>61.2612</t>
  </si>
  <si>
    <t>61.2699</t>
  </si>
  <si>
    <t>Radiology Residency/Fellowship Programs, Other.</t>
  </si>
  <si>
    <t>61.2701</t>
  </si>
  <si>
    <t>61.2702</t>
  </si>
  <si>
    <t>61.2703</t>
  </si>
  <si>
    <t>Complex General Surgical Oncology Fellowship Program.</t>
  </si>
  <si>
    <t>61.2704</t>
  </si>
  <si>
    <t>61.2705</t>
  </si>
  <si>
    <t>61.2706</t>
  </si>
  <si>
    <t>61.2707</t>
  </si>
  <si>
    <t>61.2708</t>
  </si>
  <si>
    <t>61.2799</t>
  </si>
  <si>
    <t>Surgery Residency/Fellowship Programs, Other.</t>
  </si>
  <si>
    <t>61.2801</t>
  </si>
  <si>
    <t>61.2802</t>
  </si>
  <si>
    <t>61.2899</t>
  </si>
  <si>
    <t>Urology Residency/Fellowship Programs, Other.</t>
  </si>
  <si>
    <t>61.9999</t>
  </si>
  <si>
    <t>Medical Residency/Fellowship Programs, Other.</t>
  </si>
  <si>
    <t>99.9999</t>
  </si>
  <si>
    <t>13-1074</t>
  </si>
  <si>
    <t>Farm Labor Contractors</t>
  </si>
  <si>
    <t>25-3031</t>
  </si>
  <si>
    <t>Substitute Teachers, Short-Term</t>
  </si>
  <si>
    <t>25-3041</t>
  </si>
  <si>
    <t>Tutors</t>
  </si>
  <si>
    <t>27-1023</t>
  </si>
  <si>
    <t>Floral Designers</t>
  </si>
  <si>
    <t>27-2023</t>
  </si>
  <si>
    <t>Umpires, Referees, and Other Sports Officials</t>
  </si>
  <si>
    <t>27-4099</t>
  </si>
  <si>
    <t>Media and Communication Equipment Workers, All Other</t>
  </si>
  <si>
    <t>31-1132</t>
  </si>
  <si>
    <t>Orderlies</t>
  </si>
  <si>
    <t>31-9095</t>
  </si>
  <si>
    <t>Pharmacy Aides</t>
  </si>
  <si>
    <t>33-3041</t>
  </si>
  <si>
    <t>Parking Enforcement Workers</t>
  </si>
  <si>
    <t>33-9011</t>
  </si>
  <si>
    <t>Animal Control Workers</t>
  </si>
  <si>
    <t>33-9091</t>
  </si>
  <si>
    <t>Crossing Guards and Flaggers</t>
  </si>
  <si>
    <t>33-9093</t>
  </si>
  <si>
    <t>Transportation Security Screeners</t>
  </si>
  <si>
    <t>33-9094</t>
  </si>
  <si>
    <t>School Bus Monitors</t>
  </si>
  <si>
    <t>33-9099</t>
  </si>
  <si>
    <t>Protective Service Workers, All Other</t>
  </si>
  <si>
    <t>35-2011</t>
  </si>
  <si>
    <t>Cooks, Fast Food</t>
  </si>
  <si>
    <t>35-2015</t>
  </si>
  <si>
    <t>Cooks, Short Order</t>
  </si>
  <si>
    <t>35-2021</t>
  </si>
  <si>
    <t>Food Preparation Workers</t>
  </si>
  <si>
    <t>35-3023</t>
  </si>
  <si>
    <t>Fast Food and Counter Workers</t>
  </si>
  <si>
    <t>35-3031</t>
  </si>
  <si>
    <t>Waiters and Waitresses</t>
  </si>
  <si>
    <t>35-3041</t>
  </si>
  <si>
    <t>Food Servers, Nonrestaurant</t>
  </si>
  <si>
    <t>35-9011</t>
  </si>
  <si>
    <t>Dining Room and Cafeteria Attendants and Bartender Helpers</t>
  </si>
  <si>
    <t>35-9021</t>
  </si>
  <si>
    <t>Dishwashers</t>
  </si>
  <si>
    <t>35-9031</t>
  </si>
  <si>
    <t>Hosts and Hostesses, Restaurant, Lounge, and Coffee Shop</t>
  </si>
  <si>
    <t>35-9099</t>
  </si>
  <si>
    <t>Food Preparation and Serving Related Workers, All Other</t>
  </si>
  <si>
    <t>37-2011</t>
  </si>
  <si>
    <t>Janitors and Cleaners, Except Maids and Housekeeping Cleaners</t>
  </si>
  <si>
    <t>37-2012</t>
  </si>
  <si>
    <t>Maids and Housekeeping Cleaners</t>
  </si>
  <si>
    <t>37-2019</t>
  </si>
  <si>
    <t>Building Cleaning Workers, All Other</t>
  </si>
  <si>
    <t>37-2021</t>
  </si>
  <si>
    <t>Pest Control Workers</t>
  </si>
  <si>
    <t>37-3013</t>
  </si>
  <si>
    <t>Tree Trimmers and Pruners</t>
  </si>
  <si>
    <t>37-3019</t>
  </si>
  <si>
    <t>Grounds Maintenance Workers, All Other</t>
  </si>
  <si>
    <t>39-3012</t>
  </si>
  <si>
    <t>Gambling and Sports Book Writers and Runners</t>
  </si>
  <si>
    <t>39-3019</t>
  </si>
  <si>
    <t>Gambling Service Workers, All Other</t>
  </si>
  <si>
    <t>39-3021</t>
  </si>
  <si>
    <t>Motion Picture Projectionists</t>
  </si>
  <si>
    <t>39-3031</t>
  </si>
  <si>
    <t>Ushers, Lobby Attendants, and Ticket Takers</t>
  </si>
  <si>
    <t>39-3091</t>
  </si>
  <si>
    <t>Amusement and Recreation Attendants</t>
  </si>
  <si>
    <t>39-3093</t>
  </si>
  <si>
    <t>Locker Room, Coatroom, and Dressing Room Attendants</t>
  </si>
  <si>
    <t>39-3099</t>
  </si>
  <si>
    <t>Entertainment Attendants and Related Workers, All Other</t>
  </si>
  <si>
    <t>39-4021</t>
  </si>
  <si>
    <t>Funeral Attendants</t>
  </si>
  <si>
    <t>39-6011</t>
  </si>
  <si>
    <t>Baggage Porters and Bellhops</t>
  </si>
  <si>
    <t>39-9099</t>
  </si>
  <si>
    <t>Personal Care and Service Workers, All Other</t>
  </si>
  <si>
    <t>41-2011</t>
  </si>
  <si>
    <t>Cashiers</t>
  </si>
  <si>
    <t>41-2012</t>
  </si>
  <si>
    <t>Gambling Change Persons and Booth Cashiers</t>
  </si>
  <si>
    <t>41-2021</t>
  </si>
  <si>
    <t>Counter and Rental Clerks</t>
  </si>
  <si>
    <t>41-2031</t>
  </si>
  <si>
    <t>Retail Salespersons</t>
  </si>
  <si>
    <t>41-9031</t>
  </si>
  <si>
    <t>Sales Engineers</t>
  </si>
  <si>
    <t>41-9041</t>
  </si>
  <si>
    <t>Telemarketers</t>
  </si>
  <si>
    <t>41-9091</t>
  </si>
  <si>
    <t>Door-to-Door Sales Workers, News and Street Vendors, and Related Workers</t>
  </si>
  <si>
    <t>43-2011</t>
  </si>
  <si>
    <t>Switchboard Operators, Including Answering Service</t>
  </si>
  <si>
    <t>43-2021</t>
  </si>
  <si>
    <t>Telephone Operators</t>
  </si>
  <si>
    <t>43-3021</t>
  </si>
  <si>
    <t>Billing and Posting Clerks</t>
  </si>
  <si>
    <t>43-3099</t>
  </si>
  <si>
    <t>Financial Clerks, All Other</t>
  </si>
  <si>
    <t>43-4031</t>
  </si>
  <si>
    <t>Court, Municipal, and License Clerks</t>
  </si>
  <si>
    <t>43-4081</t>
  </si>
  <si>
    <t>Hotel, Motel, and Resort Desk Clerks</t>
  </si>
  <si>
    <t>43-4111</t>
  </si>
  <si>
    <t>Interviewers, Except Eligibility and Loan</t>
  </si>
  <si>
    <t>43-4121</t>
  </si>
  <si>
    <t>Library Assistants, Clerical</t>
  </si>
  <si>
    <t>43-4181</t>
  </si>
  <si>
    <t>Reservation and Transportation Ticket Agents and Travel Clerks</t>
  </si>
  <si>
    <t>43-4199</t>
  </si>
  <si>
    <t>Information and Record Clerks, All Other</t>
  </si>
  <si>
    <t>43-5021</t>
  </si>
  <si>
    <t>Couriers and Messengers</t>
  </si>
  <si>
    <t>43-5031</t>
  </si>
  <si>
    <t>Public Safety Telecommunicators</t>
  </si>
  <si>
    <t>43-5041</t>
  </si>
  <si>
    <t>Meter Readers, Utilities</t>
  </si>
  <si>
    <t>43-5051</t>
  </si>
  <si>
    <t>Postal Service Clerks</t>
  </si>
  <si>
    <t>43-5052</t>
  </si>
  <si>
    <t>Postal Service Mail Carriers</t>
  </si>
  <si>
    <t>43-5053</t>
  </si>
  <si>
    <t>Postal Service Mail Sorters, Processors, and Processing Machine Operators</t>
  </si>
  <si>
    <t>43-5071</t>
  </si>
  <si>
    <t>Shipping, Receiving, and Inventory Clerks</t>
  </si>
  <si>
    <t>43-5111</t>
  </si>
  <si>
    <t>Weighers, Measurers, Checkers, and Samplers, Recordkeeping</t>
  </si>
  <si>
    <t>43-9051</t>
  </si>
  <si>
    <t>Mail Clerks and Mail Machine Operators, Except Postal Service</t>
  </si>
  <si>
    <t>43-9071</t>
  </si>
  <si>
    <t>Office Machine Operators, Except Computer</t>
  </si>
  <si>
    <t>43-9199</t>
  </si>
  <si>
    <t>Office and Administrative Support Workers, All Other</t>
  </si>
  <si>
    <t>45-2041</t>
  </si>
  <si>
    <t>Graders and Sorters, Agricultural Products</t>
  </si>
  <si>
    <t>45-2092</t>
  </si>
  <si>
    <t>Farmworkers and Laborers, Crop, Nursery, and Greenhouse</t>
  </si>
  <si>
    <t>45-2099</t>
  </si>
  <si>
    <t>Agricultural Workers, All Other</t>
  </si>
  <si>
    <t>45-4021</t>
  </si>
  <si>
    <t>Fallers</t>
  </si>
  <si>
    <t>45-4023</t>
  </si>
  <si>
    <t>Log Graders and Scalers</t>
  </si>
  <si>
    <t>45-4029</t>
  </si>
  <si>
    <t>Logging Workers, All Other</t>
  </si>
  <si>
    <t>47-2061</t>
  </si>
  <si>
    <t>Construction Laborers</t>
  </si>
  <si>
    <t>47-2082</t>
  </si>
  <si>
    <t>Tapers</t>
  </si>
  <si>
    <t>47-2151</t>
  </si>
  <si>
    <t>Pipelayers</t>
  </si>
  <si>
    <t>47-2161</t>
  </si>
  <si>
    <t>Plasterers and Stucco Masons</t>
  </si>
  <si>
    <t>47-2171</t>
  </si>
  <si>
    <t>Reinforcing Iron and Rebar Workers</t>
  </si>
  <si>
    <t>47-3011</t>
  </si>
  <si>
    <t>Helpers--Brickmasons, Blockmasons, Stonemasons, and Tile and Marble Setters</t>
  </si>
  <si>
    <t>47-3012</t>
  </si>
  <si>
    <t>Helpers--Carpenters</t>
  </si>
  <si>
    <t>47-3013</t>
  </si>
  <si>
    <t>Helpers--Electricians</t>
  </si>
  <si>
    <t>47-3014</t>
  </si>
  <si>
    <t>Helpers--Painters, Paperhangers, Plasterers, and Stucco Masons</t>
  </si>
  <si>
    <t>47-3015</t>
  </si>
  <si>
    <t>Helpers--Pipelayers, Plumbers, Pipefitters, and Steamfitters</t>
  </si>
  <si>
    <t>47-3016</t>
  </si>
  <si>
    <t>Helpers--Roofers</t>
  </si>
  <si>
    <t>47-3019</t>
  </si>
  <si>
    <t>Helpers, Construction Trades, All Other</t>
  </si>
  <si>
    <t>47-4031</t>
  </si>
  <si>
    <t>Fence Erectors</t>
  </si>
  <si>
    <t>47-4091</t>
  </si>
  <si>
    <t>Segmental Pavers</t>
  </si>
  <si>
    <t>47-4099</t>
  </si>
  <si>
    <t>Construction and Related Workers, All Other</t>
  </si>
  <si>
    <t>47-5043</t>
  </si>
  <si>
    <t>Roof Bolters, Mining</t>
  </si>
  <si>
    <t>47-5044</t>
  </si>
  <si>
    <t>Loading and Moving Machine Operators, Underground Mining</t>
  </si>
  <si>
    <t>47-5051</t>
  </si>
  <si>
    <t>Rock Splitters, Quarry</t>
  </si>
  <si>
    <t>47-5071</t>
  </si>
  <si>
    <t>Roustabouts, Oil and Gas</t>
  </si>
  <si>
    <t>47-5081</t>
  </si>
  <si>
    <t>Helpers--Extraction Workers</t>
  </si>
  <si>
    <t>49-3093</t>
  </si>
  <si>
    <t>Tire Repairers and Changers</t>
  </si>
  <si>
    <t>49-9011</t>
  </si>
  <si>
    <t>Mechanical Door Repairers</t>
  </si>
  <si>
    <t>49-9091</t>
  </si>
  <si>
    <t>Coin, Vending, and Amusement Machine Servicers and Repairers</t>
  </si>
  <si>
    <t>49-9096</t>
  </si>
  <si>
    <t>Riggers</t>
  </si>
  <si>
    <t>49-9098</t>
  </si>
  <si>
    <t>Helpers--Installation, Maintenance, and Repair Workers</t>
  </si>
  <si>
    <t>51-2021</t>
  </si>
  <si>
    <t>Coil Winders, Tapers, and Finishers</t>
  </si>
  <si>
    <t>51-2022</t>
  </si>
  <si>
    <t>Electrical and Electronic Equipment Assemblers</t>
  </si>
  <si>
    <t>51-2023</t>
  </si>
  <si>
    <t>Electromechanical Equipment Assemblers</t>
  </si>
  <si>
    <t>51-2051</t>
  </si>
  <si>
    <t>Fiberglass Laminators and Fabricators</t>
  </si>
  <si>
    <t>51-2092</t>
  </si>
  <si>
    <t>Team Assemblers</t>
  </si>
  <si>
    <t>51-2099</t>
  </si>
  <si>
    <t>Assemblers and Fabricators, All Other</t>
  </si>
  <si>
    <t>51-3022</t>
  </si>
  <si>
    <t>Meat, Poultry, and Fish Cutters and Trimmers</t>
  </si>
  <si>
    <t>51-3091</t>
  </si>
  <si>
    <t>Food and Tobacco Roasting, Baking, and Drying Machine Operators and Tenders</t>
  </si>
  <si>
    <t>51-3093</t>
  </si>
  <si>
    <t>Food Cooking Machine Operators and Tenders</t>
  </si>
  <si>
    <t>51-3099</t>
  </si>
  <si>
    <t>Food Processing Workers, All Other</t>
  </si>
  <si>
    <t>51-4051</t>
  </si>
  <si>
    <t>Metal-Refining Furnace Operators and Tenders</t>
  </si>
  <si>
    <t>51-4052</t>
  </si>
  <si>
    <t>Pourers and Casters, Metal</t>
  </si>
  <si>
    <t>51-4072</t>
  </si>
  <si>
    <t>Molding, Coremaking, and Casting Machine Setters, Operators, and Tenders, Metal and Plastic</t>
  </si>
  <si>
    <t>51-4193</t>
  </si>
  <si>
    <t>Plating Machine Setters, Operators, and Tenders, Metal and Plastic</t>
  </si>
  <si>
    <t>51-5113</t>
  </si>
  <si>
    <t>Print Binding and Finishing Workers</t>
  </si>
  <si>
    <t>51-6011</t>
  </si>
  <si>
    <t>Laundry and Dry-Cleaning Workers</t>
  </si>
  <si>
    <t>51-6021</t>
  </si>
  <si>
    <t>Pressers, Textile, Garment, and Related Materials</t>
  </si>
  <si>
    <t>51-6031</t>
  </si>
  <si>
    <t>Sewing Machine Operators</t>
  </si>
  <si>
    <t>51-6051</t>
  </si>
  <si>
    <t>Sewers, Hand</t>
  </si>
  <si>
    <t>51-6052</t>
  </si>
  <si>
    <t>Tailors, Dressmakers, and Custom Sewers</t>
  </si>
  <si>
    <t>51-6061</t>
  </si>
  <si>
    <t>Textile Bleaching and Dyeing Machine Operators and Tenders</t>
  </si>
  <si>
    <t>51-6062</t>
  </si>
  <si>
    <t>Textile Cutting Machine Setters, Operators, and Tenders</t>
  </si>
  <si>
    <t>51-6063</t>
  </si>
  <si>
    <t>Textile Knitting and Weaving Machine Setters, Operators, and Tenders</t>
  </si>
  <si>
    <t>51-6064</t>
  </si>
  <si>
    <t>Textile Winding, Twisting, and Drawing Out Machine Setters, Operators, and Tenders</t>
  </si>
  <si>
    <t>51-6091</t>
  </si>
  <si>
    <t>Extruding and Forming Machine Setters, Operators, and Tenders, Synthetic and Glass Fibers</t>
  </si>
  <si>
    <t>51-6099</t>
  </si>
  <si>
    <t>Textile, Apparel, and Furnishings Workers, All Other</t>
  </si>
  <si>
    <t>51-8012</t>
  </si>
  <si>
    <t>Power Distributors and Dispatchers</t>
  </si>
  <si>
    <t>51-8021</t>
  </si>
  <si>
    <t>Stationary Engineers and Boiler Operators</t>
  </si>
  <si>
    <t>51-8093</t>
  </si>
  <si>
    <t>Petroleum Pump System Operators, Refinery Operators, and Gaugers</t>
  </si>
  <si>
    <t>51-8099</t>
  </si>
  <si>
    <t>Plant and System Operators, All Other</t>
  </si>
  <si>
    <t>51-9021</t>
  </si>
  <si>
    <t>Crushing, Grinding, and Polishing Machine Setters, Operators, and Tenders</t>
  </si>
  <si>
    <t>51-9022</t>
  </si>
  <si>
    <t>Grinding and Polishing Workers, Hand</t>
  </si>
  <si>
    <t>51-9023</t>
  </si>
  <si>
    <t>Mixing and Blending Machine Setters, Operators, and Tenders</t>
  </si>
  <si>
    <t>51-9031</t>
  </si>
  <si>
    <t>Cutters and Trimmers, Hand</t>
  </si>
  <si>
    <t>51-9032</t>
  </si>
  <si>
    <t>Cutting and Slicing Machine Setters, Operators, and Tenders</t>
  </si>
  <si>
    <t>51-9041</t>
  </si>
  <si>
    <t>Extruding, Forming, Pressing, and Compacting Machine Setters, Operators, and Tenders</t>
  </si>
  <si>
    <t>51-9051</t>
  </si>
  <si>
    <t>Furnace, Kiln, Oven, Drier, and Kettle Operators and Tenders</t>
  </si>
  <si>
    <t>51-9111</t>
  </si>
  <si>
    <t>Packaging and Filling Machine Operators and Tenders</t>
  </si>
  <si>
    <t>51-9123</t>
  </si>
  <si>
    <t>Painting, Coating, and Decorating Workers</t>
  </si>
  <si>
    <t>51-9151</t>
  </si>
  <si>
    <t>Photographic Process Workers and Processing Machine Operators</t>
  </si>
  <si>
    <t>51-9191</t>
  </si>
  <si>
    <t>Adhesive Bonding Machine Operators and Tenders</t>
  </si>
  <si>
    <t>51-9192</t>
  </si>
  <si>
    <t>Cleaning, Washing, and Metal Pickling Equipment Operators and Tenders</t>
  </si>
  <si>
    <t>51-9193</t>
  </si>
  <si>
    <t>Cooling and Freezing Equipment Operators and Tenders</t>
  </si>
  <si>
    <t>51-9195</t>
  </si>
  <si>
    <t>Molders, Shapers, and Casters, Except Metal and Plastic</t>
  </si>
  <si>
    <t>51-9196</t>
  </si>
  <si>
    <t>Paper Goods Machine Setters, Operators, and Tenders</t>
  </si>
  <si>
    <t>51-9197</t>
  </si>
  <si>
    <t>Tire Builders</t>
  </si>
  <si>
    <t>51-9198</t>
  </si>
  <si>
    <t>Helpers--Production Workers</t>
  </si>
  <si>
    <t>51-9199</t>
  </si>
  <si>
    <t>Production Workers, All Other</t>
  </si>
  <si>
    <t>53-1041</t>
  </si>
  <si>
    <t>Aircraft Cargo Handling Supervisors</t>
  </si>
  <si>
    <t>53-1042</t>
  </si>
  <si>
    <t>First-Line Supervisors of Helpers, Laborers, and Material Movers, Hand</t>
  </si>
  <si>
    <t>53-3031</t>
  </si>
  <si>
    <t>Driver/Sales Workers</t>
  </si>
  <si>
    <t>53-3054</t>
  </si>
  <si>
    <t>Taxi Drivers</t>
  </si>
  <si>
    <t>53-3099</t>
  </si>
  <si>
    <t>Motor Vehicle Operators, All Other</t>
  </si>
  <si>
    <t>53-5011</t>
  </si>
  <si>
    <t>Sailors and Marine Oilers</t>
  </si>
  <si>
    <t>53-6011</t>
  </si>
  <si>
    <t>Bridge and Lock Tenders</t>
  </si>
  <si>
    <t>53-6021</t>
  </si>
  <si>
    <t>Parking Attendants</t>
  </si>
  <si>
    <t>53-6031</t>
  </si>
  <si>
    <t>Automotive and Watercraft Service Attendants</t>
  </si>
  <si>
    <t>53-6032</t>
  </si>
  <si>
    <t>Aircraft Service Attendants</t>
  </si>
  <si>
    <t>53-6051</t>
  </si>
  <si>
    <t>Transportation Inspectors</t>
  </si>
  <si>
    <t>53-6061</t>
  </si>
  <si>
    <t>Passenger Attendants</t>
  </si>
  <si>
    <t>53-6099</t>
  </si>
  <si>
    <t>Transportation Workers, All Other</t>
  </si>
  <si>
    <t>53-7011</t>
  </si>
  <si>
    <t>Conveyor Operators and Tenders</t>
  </si>
  <si>
    <t>53-7061</t>
  </si>
  <si>
    <t>Cleaners of Vehicles and Equipment</t>
  </si>
  <si>
    <t>53-7062</t>
  </si>
  <si>
    <t>Laborers and Freight, Stock, and Material Movers, Hand</t>
  </si>
  <si>
    <t>53-7063</t>
  </si>
  <si>
    <t>Machine Feeders and Offbearers</t>
  </si>
  <si>
    <t>53-7064</t>
  </si>
  <si>
    <t>Packers and Packagers, Hand</t>
  </si>
  <si>
    <t>53-7065</t>
  </si>
  <si>
    <t>Stockers and Order Fillers</t>
  </si>
  <si>
    <t>53-7071</t>
  </si>
  <si>
    <t>Gas Compressor and Gas Pumping Station Operators</t>
  </si>
  <si>
    <t>53-7072</t>
  </si>
  <si>
    <t>Pump Operators, Except Wellhead Pumpers</t>
  </si>
  <si>
    <t>53-7073</t>
  </si>
  <si>
    <t>Wellhead Pumpers</t>
  </si>
  <si>
    <t>53-7081</t>
  </si>
  <si>
    <t>Refuse and Recyclable Material Collectors</t>
  </si>
  <si>
    <t>53-7121</t>
  </si>
  <si>
    <t>Tank Car, Truck, and Ship Loaders</t>
  </si>
  <si>
    <t>55-1011</t>
  </si>
  <si>
    <t>Air Crew Officers</t>
  </si>
  <si>
    <t>55-1012</t>
  </si>
  <si>
    <t>Aircraft Launch and Recovery Officers</t>
  </si>
  <si>
    <t>55-1013</t>
  </si>
  <si>
    <t>Armored Assault Vehicle Officers</t>
  </si>
  <si>
    <t>55-2011</t>
  </si>
  <si>
    <t>First-Line Supervisors of Air Crew Members</t>
  </si>
  <si>
    <t>55-2012</t>
  </si>
  <si>
    <t>First-Line Supervisors of Weapons Specialists/Crew Members</t>
  </si>
  <si>
    <t>55-2013</t>
  </si>
  <si>
    <t>First-Line Supervisors of All Other Tactical Operations Specialists</t>
  </si>
  <si>
    <t>55-3011</t>
  </si>
  <si>
    <t>Air Crew Members</t>
  </si>
  <si>
    <t>55-3013</t>
  </si>
  <si>
    <t>Armored Assault Vehicle Crew Members</t>
  </si>
  <si>
    <t>55-3016</t>
  </si>
  <si>
    <t>Infantry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</si>
</sst>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0000"/>
  </numFmts>
  <fonts count="18" x14ac:knownFonts="1">
    <font>
      <sz val="11"/>
      <color theme="1"/>
      <name val="Calibri"/>
      <family val="2"/>
      <scheme val="minor"/>
    </font>
    <font>
      <sz val="14"/>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2"/>
      <color theme="1"/>
      <name val="Calibri"/>
      <family val="2"/>
      <scheme val="minor"/>
    </font>
    <font>
      <b/>
      <sz val="14"/>
      <color indexed="8"/>
      <name val="Calibri"/>
      <family val="2"/>
      <scheme val="minor"/>
    </font>
    <font>
      <b/>
      <u/>
      <sz val="14"/>
      <color theme="1"/>
      <name val="Calibri"/>
      <family val="2"/>
      <scheme val="minor"/>
    </font>
    <font>
      <u/>
      <sz val="11"/>
      <color theme="10"/>
      <name val="Calibri"/>
      <family val="2"/>
      <scheme val="minor"/>
    </font>
    <font>
      <u/>
      <sz val="14"/>
      <color theme="10"/>
      <name val="Calibri"/>
      <family val="2"/>
      <scheme val="minor"/>
    </font>
    <font>
      <b/>
      <sz val="14"/>
      <color rgb="FF000000"/>
      <name val="Calibri"/>
    </font>
    <font>
      <sz val="14"/>
      <color rgb="FF000000"/>
      <name val="Calibri"/>
    </font>
    <font>
      <b/>
      <sz val="11"/>
      <color theme="1"/>
      <name val="Calibri"/>
      <family val="2"/>
      <scheme val="minor"/>
    </font>
    <font>
      <b/>
      <u/>
      <sz val="11"/>
      <color theme="10"/>
      <name val="Calibri"/>
      <family val="2"/>
      <scheme val="minor"/>
    </font>
    <font>
      <i/>
      <sz val="14"/>
      <color rgb="FF000000"/>
      <name val="Calibri"/>
      <family val="2"/>
    </font>
    <font>
      <b/>
      <sz val="14"/>
      <color rgb="FF000000"/>
      <name val="Calibri"/>
      <family val="2"/>
    </font>
    <font>
      <sz val="14"/>
      <color rgb="FF000000"/>
      <name val="Calibri"/>
      <family val="2"/>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61">
    <xf numFmtId="0" fontId="0" fillId="0" borderId="0" xfId="0"/>
    <xf numFmtId="0" fontId="0" fillId="0" borderId="0" xfId="0" applyFill="1"/>
    <xf numFmtId="0" fontId="2" fillId="0" borderId="0" xfId="0" applyFont="1" applyFill="1" applyBorder="1" applyAlignment="1"/>
    <xf numFmtId="0" fontId="2" fillId="0" borderId="0" xfId="0" applyFont="1" applyFill="1" applyBorder="1" applyAlignment="1">
      <alignment horizontal="left" vertical="top"/>
    </xf>
    <xf numFmtId="0" fontId="1" fillId="0" borderId="0" xfId="0" applyFont="1" applyFill="1" applyBorder="1" applyAlignment="1">
      <alignment horizontal="left" vertical="top"/>
    </xf>
    <xf numFmtId="0" fontId="13" fillId="0" borderId="0" xfId="1" applyFont="1"/>
    <xf numFmtId="0" fontId="12" fillId="0" borderId="0" xfId="0" applyFont="1"/>
    <xf numFmtId="0" fontId="12" fillId="0" borderId="0" xfId="0" applyFont="1" applyAlignment="1">
      <alignment wrapText="1"/>
    </xf>
    <xf numFmtId="0" fontId="0" fillId="0" borderId="0" xfId="0" applyAlignment="1">
      <alignment wrapText="1"/>
    </xf>
    <xf numFmtId="0" fontId="0" fillId="0" borderId="0" xfId="0" applyFill="1" applyAlignment="1">
      <alignment wrapText="1"/>
    </xf>
    <xf numFmtId="0" fontId="5" fillId="4" borderId="0" xfId="0" applyFont="1" applyFill="1"/>
    <xf numFmtId="0" fontId="5" fillId="4" borderId="0" xfId="0" applyFont="1" applyFill="1" applyAlignment="1">
      <alignment wrapText="1"/>
    </xf>
    <xf numFmtId="0" fontId="12" fillId="4" borderId="0" xfId="0" applyFont="1" applyFill="1"/>
    <xf numFmtId="0" fontId="12" fillId="4" borderId="0" xfId="0" applyFont="1" applyFill="1" applyAlignment="1">
      <alignment wrapText="1"/>
    </xf>
    <xf numFmtId="0" fontId="2" fillId="0" borderId="0" xfId="0" applyFont="1" applyFill="1" applyBorder="1" applyAlignment="1">
      <alignment horizontal="lef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49" fontId="3" fillId="2" borderId="1" xfId="0" applyNumberFormat="1" applyFont="1" applyFill="1" applyBorder="1" applyAlignment="1" applyProtection="1">
      <alignment horizontal="center" vertical="top" wrapText="1"/>
      <protection locked="0"/>
    </xf>
    <xf numFmtId="164" fontId="4" fillId="2" borderId="1" xfId="0" applyNumberFormat="1"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1"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164" fontId="1" fillId="0" borderId="1" xfId="0" applyNumberFormat="1"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49" fontId="3" fillId="2" borderId="1" xfId="0" applyNumberFormat="1" applyFont="1" applyFill="1" applyBorder="1" applyAlignment="1" applyProtection="1">
      <alignment horizontal="center"/>
      <protection locked="0"/>
    </xf>
    <xf numFmtId="0" fontId="3" fillId="0" borderId="0" xfId="0" applyFont="1" applyFill="1" applyBorder="1" applyAlignment="1" applyProtection="1">
      <protection locked="0"/>
    </xf>
    <xf numFmtId="0" fontId="2" fillId="0" borderId="0" xfId="0" applyFont="1" applyFill="1" applyBorder="1" applyAlignment="1" applyProtection="1">
      <protection locked="0"/>
    </xf>
    <xf numFmtId="49" fontId="6" fillId="2" borderId="1" xfId="0" applyNumberFormat="1" applyFont="1" applyFill="1" applyBorder="1" applyAlignment="1" applyProtection="1">
      <alignment horizontal="center" wrapText="1"/>
    </xf>
    <xf numFmtId="49" fontId="3" fillId="2" borderId="1" xfId="0" applyNumberFormat="1" applyFont="1" applyFill="1" applyBorder="1" applyAlignment="1" applyProtection="1">
      <alignment horizontal="center" wrapText="1"/>
    </xf>
    <xf numFmtId="49" fontId="3" fillId="2" borderId="1" xfId="0" applyNumberFormat="1" applyFont="1" applyFill="1" applyBorder="1" applyAlignment="1" applyProtection="1">
      <alignment horizontal="center"/>
    </xf>
    <xf numFmtId="49" fontId="10" fillId="2" borderId="1" xfId="0" applyNumberFormat="1" applyFont="1" applyFill="1" applyBorder="1" applyAlignment="1" applyProtection="1">
      <alignment horizontal="center" vertical="top" wrapText="1"/>
    </xf>
    <xf numFmtId="164" fontId="4" fillId="2" borderId="1" xfId="0" applyNumberFormat="1" applyFont="1" applyFill="1" applyBorder="1" applyAlignment="1" applyProtection="1">
      <alignment horizontal="center" vertical="top" wrapText="1"/>
    </xf>
    <xf numFmtId="164" fontId="15" fillId="2" borderId="1" xfId="0" applyNumberFormat="1"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165" fontId="9" fillId="0" borderId="1" xfId="1" applyNumberFormat="1" applyFont="1" applyFill="1" applyBorder="1" applyAlignment="1" applyProtection="1">
      <alignment horizontal="left" vertical="top" wrapText="1"/>
    </xf>
    <xf numFmtId="0" fontId="11" fillId="3" borderId="1"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11" fillId="0" borderId="1" xfId="0" applyFont="1" applyFill="1" applyBorder="1" applyAlignment="1" applyProtection="1">
      <alignment horizontal="left" vertical="top" wrapText="1"/>
    </xf>
    <xf numFmtId="164" fontId="1" fillId="0" borderId="1" xfId="0" applyNumberFormat="1" applyFont="1" applyFill="1" applyBorder="1" applyAlignment="1" applyProtection="1">
      <alignment horizontal="left" vertical="top" wrapText="1"/>
    </xf>
    <xf numFmtId="0" fontId="9" fillId="0" borderId="1" xfId="1" applyNumberFormat="1" applyFont="1" applyFill="1" applyBorder="1" applyAlignment="1" applyProtection="1">
      <alignment horizontal="left" vertical="top" wrapText="1"/>
    </xf>
    <xf numFmtId="0" fontId="11" fillId="0" borderId="1" xfId="0" applyFont="1" applyBorder="1" applyAlignment="1" applyProtection="1">
      <alignment vertical="top" wrapText="1"/>
    </xf>
    <xf numFmtId="0" fontId="11" fillId="3" borderId="1" xfId="0" applyFont="1" applyFill="1" applyBorder="1" applyAlignment="1" applyProtection="1">
      <alignment vertical="top" wrapText="1"/>
    </xf>
    <xf numFmtId="0" fontId="1" fillId="0" borderId="1" xfId="0" applyNumberFormat="1"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165" fontId="9" fillId="0" borderId="1" xfId="1" applyNumberFormat="1" applyFont="1" applyFill="1" applyBorder="1" applyAlignment="1" applyProtection="1">
      <alignment horizontal="left" vertical="top"/>
    </xf>
    <xf numFmtId="0" fontId="11" fillId="0" borderId="1" xfId="0" applyFont="1" applyBorder="1" applyAlignment="1" applyProtection="1">
      <alignment horizontal="left" vertical="top" wrapText="1"/>
    </xf>
    <xf numFmtId="164" fontId="11" fillId="0" borderId="1" xfId="0" applyNumberFormat="1" applyFont="1" applyFill="1" applyBorder="1" applyAlignment="1" applyProtection="1">
      <alignment horizontal="left" vertical="top" wrapText="1"/>
    </xf>
    <xf numFmtId="0" fontId="6" fillId="0" borderId="0" xfId="0" applyFont="1" applyFill="1" applyBorder="1" applyAlignment="1" applyProtection="1">
      <alignment wrapText="1"/>
    </xf>
    <xf numFmtId="0" fontId="2" fillId="0" borderId="0" xfId="0" applyFont="1" applyFill="1" applyBorder="1" applyAlignment="1" applyProtection="1">
      <alignment wrapText="1"/>
    </xf>
    <xf numFmtId="0" fontId="2" fillId="0" borderId="0" xfId="0" applyFont="1" applyFill="1" applyBorder="1" applyAlignment="1" applyProtection="1"/>
    <xf numFmtId="0" fontId="11" fillId="0" borderId="0" xfId="0" applyFont="1" applyFill="1" applyBorder="1" applyAlignment="1" applyProtection="1">
      <alignment vertical="top" wrapText="1"/>
    </xf>
    <xf numFmtId="0" fontId="16" fillId="0" borderId="1" xfId="0" applyFont="1" applyFill="1" applyBorder="1" applyAlignment="1" applyProtection="1">
      <alignment horizontal="left" vertical="top" wrapText="1"/>
    </xf>
    <xf numFmtId="0" fontId="17" fillId="0" borderId="1"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164" fontId="17" fillId="0" borderId="1" xfId="0" applyNumberFormat="1" applyFont="1" applyFill="1" applyBorder="1" applyAlignment="1" applyProtection="1">
      <alignment horizontal="left" vertical="top" wrapText="1"/>
      <protection locked="0"/>
    </xf>
    <xf numFmtId="0" fontId="17" fillId="0" borderId="1" xfId="0" applyNumberFormat="1"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546100</xdr:colOff>
      <xdr:row>35</xdr:row>
      <xdr:rowOff>156229</xdr:rowOff>
    </xdr:to>
    <xdr:pic>
      <xdr:nvPicPr>
        <xdr:cNvPr id="3" name="Picture 2">
          <a:extLst>
            <a:ext uri="{FF2B5EF4-FFF2-40B4-BE49-F238E27FC236}">
              <a16:creationId xmlns:a16="http://schemas.microsoft.com/office/drawing/2014/main" id="{F4F73AA9-2195-4634-A104-CFDCBEB470D4}"/>
            </a:ext>
          </a:extLst>
        </xdr:cNvPr>
        <xdr:cNvPicPr>
          <a:picLocks noChangeAspect="1"/>
        </xdr:cNvPicPr>
      </xdr:nvPicPr>
      <xdr:blipFill>
        <a:blip xmlns:r="http://schemas.openxmlformats.org/officeDocument/2006/relationships" r:embed="rId1"/>
        <a:stretch>
          <a:fillRect/>
        </a:stretch>
      </xdr:blipFill>
      <xdr:spPr>
        <a:xfrm>
          <a:off x="0" y="0"/>
          <a:ext cx="8896350" cy="66014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nces.ed.gov/ipeds/cipcode/cipdetail.aspx?y=56&amp;cipid=90468" TargetMode="External"/><Relationship Id="rId117" Type="http://schemas.openxmlformats.org/officeDocument/2006/relationships/printerSettings" Target="../printerSettings/printerSettings2.bin"/><Relationship Id="rId21" Type="http://schemas.openxmlformats.org/officeDocument/2006/relationships/hyperlink" Target="https://nces.ed.gov/ipeds/cipcode/cipdetail.aspx?y=56&amp;cipid=90468" TargetMode="External"/><Relationship Id="rId42" Type="http://schemas.openxmlformats.org/officeDocument/2006/relationships/hyperlink" Target="https://nces.ed.gov/ipeds/cipcode/CIPDetail.aspx?y=56&amp;cipid=90890" TargetMode="External"/><Relationship Id="rId47" Type="http://schemas.openxmlformats.org/officeDocument/2006/relationships/hyperlink" Target="https://nces.ed.gov/ipeds/cipcode/cipdetail.aspx?y=56&amp;cipid=89755" TargetMode="External"/><Relationship Id="rId63" Type="http://schemas.openxmlformats.org/officeDocument/2006/relationships/hyperlink" Target="https://nces.ed.gov/ipeds/cipcode/cipdetail.aspx?y=56&amp;cipid=91045" TargetMode="External"/><Relationship Id="rId68" Type="http://schemas.openxmlformats.org/officeDocument/2006/relationships/hyperlink" Target="https://nces.ed.gov/ipeds/cipcode/cipdetail.aspx?y=56&amp;cipid=91079" TargetMode="External"/><Relationship Id="rId84" Type="http://schemas.openxmlformats.org/officeDocument/2006/relationships/hyperlink" Target="https://nces.ed.gov/ipeds/cipcode/cipdetail.aspx?y=56&amp;cipid=91159" TargetMode="External"/><Relationship Id="rId89" Type="http://schemas.openxmlformats.org/officeDocument/2006/relationships/hyperlink" Target="https://nces.ed.gov/ipeds/cipcode/cipdetail.aspx?y=56&amp;cipid=91161" TargetMode="External"/><Relationship Id="rId112" Type="http://schemas.openxmlformats.org/officeDocument/2006/relationships/hyperlink" Target="https://nces.ed.gov/ipeds/cipcode/cipdetail.aspx?y=56&amp;cipid=89570" TargetMode="External"/><Relationship Id="rId16" Type="http://schemas.openxmlformats.org/officeDocument/2006/relationships/hyperlink" Target="https://nces.ed.gov/ipeds/cipcode/cipdetail.aspx?y=56&amp;cipid=90449" TargetMode="External"/><Relationship Id="rId107" Type="http://schemas.openxmlformats.org/officeDocument/2006/relationships/hyperlink" Target="https://nces.ed.gov/ipeds/cipcode/cipdetail.aspx?y=56&amp;cipid=91165" TargetMode="External"/><Relationship Id="rId11" Type="http://schemas.openxmlformats.org/officeDocument/2006/relationships/hyperlink" Target="https://nces.ed.gov/ipeds/cipcode/cipdetail.aspx?y=56&amp;cipid=90382" TargetMode="External"/><Relationship Id="rId32" Type="http://schemas.openxmlformats.org/officeDocument/2006/relationships/hyperlink" Target="https://nces.ed.gov/ipeds/cipcode/cipdetail.aspx?y=56&amp;cipid=90478" TargetMode="External"/><Relationship Id="rId37" Type="http://schemas.openxmlformats.org/officeDocument/2006/relationships/hyperlink" Target="https://nces.ed.gov/ipeds/cipcode/cipdetail.aspx?y=56&amp;cipid=90485" TargetMode="External"/><Relationship Id="rId53" Type="http://schemas.openxmlformats.org/officeDocument/2006/relationships/hyperlink" Target="https://nces.ed.gov/ipeds/cipcode/cipdetail.aspx?y=56&amp;cipid=90828" TargetMode="External"/><Relationship Id="rId58" Type="http://schemas.openxmlformats.org/officeDocument/2006/relationships/hyperlink" Target="https://nces.ed.gov/ipeds/cipcode/cipdetail.aspx?y=56&amp;cipid=90986" TargetMode="External"/><Relationship Id="rId74" Type="http://schemas.openxmlformats.org/officeDocument/2006/relationships/hyperlink" Target="https://nces.ed.gov/ipeds/cipcode/cipdetail.aspx?y=56&amp;cipid=91097" TargetMode="External"/><Relationship Id="rId79" Type="http://schemas.openxmlformats.org/officeDocument/2006/relationships/hyperlink" Target="https://nces.ed.gov/ipeds/cipcode/cipdetail.aspx?y=56&amp;cipid=91097" TargetMode="External"/><Relationship Id="rId102" Type="http://schemas.openxmlformats.org/officeDocument/2006/relationships/hyperlink" Target="https://nces.ed.gov/ipeds/cipcode/cipdetail.aspx?y=56&amp;cipid=91165" TargetMode="External"/><Relationship Id="rId5" Type="http://schemas.openxmlformats.org/officeDocument/2006/relationships/hyperlink" Target="https://nces.ed.gov/ipeds/cipcode/cipdetail.aspx?y=56&amp;cipid=89564" TargetMode="External"/><Relationship Id="rId90" Type="http://schemas.openxmlformats.org/officeDocument/2006/relationships/hyperlink" Target="https://nces.ed.gov/ipeds/cipcode/cipdetail.aspx?y=56&amp;cipid=91165" TargetMode="External"/><Relationship Id="rId95" Type="http://schemas.openxmlformats.org/officeDocument/2006/relationships/hyperlink" Target="https://nces.ed.gov/ipeds/cipcode/cipdetail.aspx?y=56&amp;cipid=91165" TargetMode="External"/><Relationship Id="rId22" Type="http://schemas.openxmlformats.org/officeDocument/2006/relationships/hyperlink" Target="https://nces.ed.gov/ipeds/cipcode/cipdetail.aspx?y=56&amp;cipid=90468" TargetMode="External"/><Relationship Id="rId27" Type="http://schemas.openxmlformats.org/officeDocument/2006/relationships/hyperlink" Target="https://nces.ed.gov/ipeds/cipcode/cipdetail.aspx?y=56&amp;cipid=90468" TargetMode="External"/><Relationship Id="rId43" Type="http://schemas.openxmlformats.org/officeDocument/2006/relationships/hyperlink" Target="https://nces.ed.gov/ipeds/cipcode/cipdetail.aspx?y=56&amp;cipid=90584" TargetMode="External"/><Relationship Id="rId48" Type="http://schemas.openxmlformats.org/officeDocument/2006/relationships/hyperlink" Target="https://nces.ed.gov/ipeds/cipcode/cipdetail.aspx?y=56&amp;cipid=90468" TargetMode="External"/><Relationship Id="rId64" Type="http://schemas.openxmlformats.org/officeDocument/2006/relationships/hyperlink" Target="https://nces.ed.gov/ipeds/cipcode/cipdetail.aspx?y=56&amp;cipid=91045" TargetMode="External"/><Relationship Id="rId69" Type="http://schemas.openxmlformats.org/officeDocument/2006/relationships/hyperlink" Target="https://nces.ed.gov/ipeds/cipcode/cipdetail.aspx?y=56&amp;cipid=89969" TargetMode="External"/><Relationship Id="rId113" Type="http://schemas.openxmlformats.org/officeDocument/2006/relationships/hyperlink" Target="https://nces.ed.gov/ipeds/cipcode/cipdetail.aspx?y=56&amp;cipid=89969" TargetMode="External"/><Relationship Id="rId80" Type="http://schemas.openxmlformats.org/officeDocument/2006/relationships/hyperlink" Target="https://nces.ed.gov/ipeds/cipcode/cipdetail.aspx?y=56&amp;cipid=91159" TargetMode="External"/><Relationship Id="rId85" Type="http://schemas.openxmlformats.org/officeDocument/2006/relationships/hyperlink" Target="https://nces.ed.gov/ipeds/cipcode/cipdetail.aspx?y=56&amp;cipid=91159" TargetMode="External"/><Relationship Id="rId12" Type="http://schemas.openxmlformats.org/officeDocument/2006/relationships/hyperlink" Target="https://nces.ed.gov/ipeds/cipcode/cipdetail.aspx?y=56&amp;cipid=89585" TargetMode="External"/><Relationship Id="rId17" Type="http://schemas.openxmlformats.org/officeDocument/2006/relationships/hyperlink" Target="https://nces.ed.gov/ipeds/cipcode/cipdetail.aspx?y=56&amp;cipid=90449" TargetMode="External"/><Relationship Id="rId33" Type="http://schemas.openxmlformats.org/officeDocument/2006/relationships/hyperlink" Target="https://nces.ed.gov/ipeds/cipcode/cipdetail.aspx?y=56&amp;cipid=90478" TargetMode="External"/><Relationship Id="rId38" Type="http://schemas.openxmlformats.org/officeDocument/2006/relationships/hyperlink" Target="https://nces.ed.gov/ipeds/cipcode/cipdetail.aspx?y=56&amp;cipid=90485" TargetMode="External"/><Relationship Id="rId59" Type="http://schemas.openxmlformats.org/officeDocument/2006/relationships/hyperlink" Target="https://nces.ed.gov/ipeds/cipcode/cipdetail.aspx?y=56&amp;cipid=90996" TargetMode="External"/><Relationship Id="rId103" Type="http://schemas.openxmlformats.org/officeDocument/2006/relationships/hyperlink" Target="https://nces.ed.gov/ipeds/cipcode/cipdetail.aspx?y=56&amp;cipid=91165" TargetMode="External"/><Relationship Id="rId108" Type="http://schemas.openxmlformats.org/officeDocument/2006/relationships/hyperlink" Target="https://nces.ed.gov/ipeds/cipcode/cipdetail.aspx?y=56&amp;cipid=91165" TargetMode="External"/><Relationship Id="rId54" Type="http://schemas.openxmlformats.org/officeDocument/2006/relationships/hyperlink" Target="https://nces.ed.gov/ipeds/cipcode/cipdetail.aspx?y=56&amp;cipid=90839" TargetMode="External"/><Relationship Id="rId70" Type="http://schemas.openxmlformats.org/officeDocument/2006/relationships/hyperlink" Target="https://nces.ed.gov/ipeds/cipcode/cipdetail.aspx?y=56&amp;cipid=91097" TargetMode="External"/><Relationship Id="rId75" Type="http://schemas.openxmlformats.org/officeDocument/2006/relationships/hyperlink" Target="https://nces.ed.gov/ipeds/cipcode/cipdetail.aspx?y=56&amp;cipid=91097" TargetMode="External"/><Relationship Id="rId91" Type="http://schemas.openxmlformats.org/officeDocument/2006/relationships/hyperlink" Target="https://nces.ed.gov/ipeds/cipcode/cipdetail.aspx?y=56&amp;cipid=91165" TargetMode="External"/><Relationship Id="rId96" Type="http://schemas.openxmlformats.org/officeDocument/2006/relationships/hyperlink" Target="https://nces.ed.gov/ipeds/cipcode/cipdetail.aspx?y=56&amp;cipid=91165" TargetMode="External"/><Relationship Id="rId1" Type="http://schemas.openxmlformats.org/officeDocument/2006/relationships/hyperlink" Target="https://nces.ed.gov/ipeds/cipcode/cipdetail.aspx?y=56&amp;cipid=89524" TargetMode="External"/><Relationship Id="rId6" Type="http://schemas.openxmlformats.org/officeDocument/2006/relationships/hyperlink" Target="https://nces.ed.gov/ipeds/cipcode/cipdetail.aspx?y=56&amp;cipid=89564" TargetMode="External"/><Relationship Id="rId23" Type="http://schemas.openxmlformats.org/officeDocument/2006/relationships/hyperlink" Target="https://nces.ed.gov/ipeds/cipcode/cipdetail.aspx?y=56&amp;cipid=90468" TargetMode="External"/><Relationship Id="rId28" Type="http://schemas.openxmlformats.org/officeDocument/2006/relationships/hyperlink" Target="https://nces.ed.gov/ipeds/cipcode/cipdetail.aspx?y=56&amp;cipid=90468" TargetMode="External"/><Relationship Id="rId49" Type="http://schemas.openxmlformats.org/officeDocument/2006/relationships/hyperlink" Target="https://nces.ed.gov/ipeds/cipcode/cipdetail.aspx?y=56&amp;cipid=90468" TargetMode="External"/><Relationship Id="rId114" Type="http://schemas.openxmlformats.org/officeDocument/2006/relationships/hyperlink" Target="https://nces.ed.gov/ipeds/cipcode/CIPDetail.aspx?y=56&amp;cipid=90890" TargetMode="External"/><Relationship Id="rId10" Type="http://schemas.openxmlformats.org/officeDocument/2006/relationships/hyperlink" Target="https://nces.ed.gov/ipeds/cipcode/cipdetail.aspx?y=56&amp;cipid=89570" TargetMode="External"/><Relationship Id="rId31" Type="http://schemas.openxmlformats.org/officeDocument/2006/relationships/hyperlink" Target="https://nces.ed.gov/ipeds/cipcode/cipdetail.aspx?y=56&amp;cipid=90478" TargetMode="External"/><Relationship Id="rId44" Type="http://schemas.openxmlformats.org/officeDocument/2006/relationships/hyperlink" Target="https://nces.ed.gov/ipeds/cipcode/cipdetail.aspx?y=56&amp;cipid=90589" TargetMode="External"/><Relationship Id="rId52" Type="http://schemas.openxmlformats.org/officeDocument/2006/relationships/hyperlink" Target="https://nces.ed.gov/ipeds/cipcode/CIPDetail.aspx?y=56&amp;cipid=90119" TargetMode="External"/><Relationship Id="rId60" Type="http://schemas.openxmlformats.org/officeDocument/2006/relationships/hyperlink" Target="https://nces.ed.gov/ipeds/cipcode/cipdetail.aspx?y=56&amp;cipid=89920" TargetMode="External"/><Relationship Id="rId65" Type="http://schemas.openxmlformats.org/officeDocument/2006/relationships/hyperlink" Target="https://nces.ed.gov/ipeds/cipcode/cipdetail.aspx?y=56&amp;cipid=91060" TargetMode="External"/><Relationship Id="rId73" Type="http://schemas.openxmlformats.org/officeDocument/2006/relationships/hyperlink" Target="https://nces.ed.gov/ipeds/cipcode/cipdetail.aspx?y=56&amp;cipid=91097" TargetMode="External"/><Relationship Id="rId78" Type="http://schemas.openxmlformats.org/officeDocument/2006/relationships/hyperlink" Target="https://nces.ed.gov/ipeds/cipcode/cipdetail.aspx?y=56&amp;cipid=91097" TargetMode="External"/><Relationship Id="rId81" Type="http://schemas.openxmlformats.org/officeDocument/2006/relationships/hyperlink" Target="https://nces.ed.gov/ipeds/cipcode/cipdetail.aspx?y=56&amp;cipid=91159" TargetMode="External"/><Relationship Id="rId86" Type="http://schemas.openxmlformats.org/officeDocument/2006/relationships/hyperlink" Target="https://nces.ed.gov/ipeds/cipcode/cipdetail.aspx?y=56&amp;cipid=91160" TargetMode="External"/><Relationship Id="rId94" Type="http://schemas.openxmlformats.org/officeDocument/2006/relationships/hyperlink" Target="https://nces.ed.gov/ipeds/cipcode/cipdetail.aspx?y=56&amp;cipid=91165" TargetMode="External"/><Relationship Id="rId99" Type="http://schemas.openxmlformats.org/officeDocument/2006/relationships/hyperlink" Target="https://nces.ed.gov/ipeds/cipcode/cipdetail.aspx?y=56&amp;cipid=91165" TargetMode="External"/><Relationship Id="rId101" Type="http://schemas.openxmlformats.org/officeDocument/2006/relationships/hyperlink" Target="https://nces.ed.gov/ipeds/cipcode/cipdetail.aspx?y=56&amp;cipid=91165" TargetMode="External"/><Relationship Id="rId4" Type="http://schemas.openxmlformats.org/officeDocument/2006/relationships/hyperlink" Target="https://nces.ed.gov/ipeds/cipcode/cipdetail.aspx?y=56&amp;cipid=90075" TargetMode="External"/><Relationship Id="rId9" Type="http://schemas.openxmlformats.org/officeDocument/2006/relationships/hyperlink" Target="https://nces.ed.gov/ipeds/cipcode/cipdetail.aspx?y=56&amp;cipid=89570" TargetMode="External"/><Relationship Id="rId13" Type="http://schemas.openxmlformats.org/officeDocument/2006/relationships/hyperlink" Target="https://nces.ed.gov/ipeds/cipcode/cipdetail.aspx?y=56&amp;cipid=89591" TargetMode="External"/><Relationship Id="rId18" Type="http://schemas.openxmlformats.org/officeDocument/2006/relationships/hyperlink" Target="https://nces.ed.gov/ipeds/cipcode/cipdetail.aspx?y=56&amp;cipid=90434" TargetMode="External"/><Relationship Id="rId39" Type="http://schemas.openxmlformats.org/officeDocument/2006/relationships/hyperlink" Target="https://nces.ed.gov/ipeds/cipcode/cipdetail.aspx?y=56&amp;cipid=90494" TargetMode="External"/><Relationship Id="rId109" Type="http://schemas.openxmlformats.org/officeDocument/2006/relationships/hyperlink" Target="https://nces.ed.gov/ipeds/cipcode/cipdetail.aspx?y=56&amp;cipid=91167" TargetMode="External"/><Relationship Id="rId34" Type="http://schemas.openxmlformats.org/officeDocument/2006/relationships/hyperlink" Target="https://nces.ed.gov/ipeds/cipcode/cipdetail.aspx?y=56&amp;cipid=90478" TargetMode="External"/><Relationship Id="rId50" Type="http://schemas.openxmlformats.org/officeDocument/2006/relationships/hyperlink" Target="https://nces.ed.gov/ipeds/cipcode/cipdetail.aspx?y=56&amp;cipid=90117" TargetMode="External"/><Relationship Id="rId55" Type="http://schemas.openxmlformats.org/officeDocument/2006/relationships/hyperlink" Target="https://nces.ed.gov/ipeds/cipcode/cipdetail.aspx?y=56&amp;cipid=89874" TargetMode="External"/><Relationship Id="rId76" Type="http://schemas.openxmlformats.org/officeDocument/2006/relationships/hyperlink" Target="https://nces.ed.gov/ipeds/cipcode/cipdetail.aspx?y=56&amp;cipid=91097" TargetMode="External"/><Relationship Id="rId97" Type="http://schemas.openxmlformats.org/officeDocument/2006/relationships/hyperlink" Target="https://nces.ed.gov/ipeds/cipcode/cipdetail.aspx?y=56&amp;cipid=91165" TargetMode="External"/><Relationship Id="rId104" Type="http://schemas.openxmlformats.org/officeDocument/2006/relationships/hyperlink" Target="https://nces.ed.gov/ipeds/cipcode/cipdetail.aspx?y=56&amp;cipid=91165" TargetMode="External"/><Relationship Id="rId7" Type="http://schemas.openxmlformats.org/officeDocument/2006/relationships/hyperlink" Target="https://nces.ed.gov/ipeds/cipcode/cipdetail.aspx?y=56&amp;cipid=89564" TargetMode="External"/><Relationship Id="rId71" Type="http://schemas.openxmlformats.org/officeDocument/2006/relationships/hyperlink" Target="https://nces.ed.gov/ipeds/cipcode/cipdetail.aspx?y=56&amp;cipid=91097" TargetMode="External"/><Relationship Id="rId92" Type="http://schemas.openxmlformats.org/officeDocument/2006/relationships/hyperlink" Target="https://nces.ed.gov/ipeds/cipcode/cipdetail.aspx?y=56&amp;cipid=91165" TargetMode="External"/><Relationship Id="rId2" Type="http://schemas.openxmlformats.org/officeDocument/2006/relationships/hyperlink" Target="https://nces.ed.gov/ipeds/cipcode/cipdetail.aspx?y=56&amp;cipid=89522" TargetMode="External"/><Relationship Id="rId29" Type="http://schemas.openxmlformats.org/officeDocument/2006/relationships/hyperlink" Target="https://nces.ed.gov/ipeds/cipcode/cipdetail.aspx?y=56&amp;cipid=90472" TargetMode="External"/><Relationship Id="rId24" Type="http://schemas.openxmlformats.org/officeDocument/2006/relationships/hyperlink" Target="https://nces.ed.gov/ipeds/cipcode/cipdetail.aspx?y=56&amp;cipid=90468" TargetMode="External"/><Relationship Id="rId40" Type="http://schemas.openxmlformats.org/officeDocument/2006/relationships/hyperlink" Target="https://nces.ed.gov/ipeds/cipcode/cipdetail.aspx?y=56&amp;cipid=90440" TargetMode="External"/><Relationship Id="rId45" Type="http://schemas.openxmlformats.org/officeDocument/2006/relationships/hyperlink" Target="https://nces.ed.gov/ipeds/cipcode/cipdetail.aspx?y=56&amp;cipid=90104" TargetMode="External"/><Relationship Id="rId66" Type="http://schemas.openxmlformats.org/officeDocument/2006/relationships/hyperlink" Target="https://nces.ed.gov/ipeds/cipcode/cipdetail.aspx?y=56&amp;cipid=91069" TargetMode="External"/><Relationship Id="rId87" Type="http://schemas.openxmlformats.org/officeDocument/2006/relationships/hyperlink" Target="https://nces.ed.gov/ipeds/cipcode/cipdetail.aspx?y=56&amp;cipid=91161" TargetMode="External"/><Relationship Id="rId110" Type="http://schemas.openxmlformats.org/officeDocument/2006/relationships/hyperlink" Target="https://nces.ed.gov/ipeds/cipcode/cipdetail.aspx?y=56&amp;cipid=91187" TargetMode="External"/><Relationship Id="rId115" Type="http://schemas.openxmlformats.org/officeDocument/2006/relationships/hyperlink" Target="https://nces.ed.gov/ipeds/cipcode/cipdetail.aspx?y=56&amp;cipid=91165" TargetMode="External"/><Relationship Id="rId61" Type="http://schemas.openxmlformats.org/officeDocument/2006/relationships/hyperlink" Target="https://nces.ed.gov/ipeds/cipcode/cipdetail.aspx?y=56&amp;cipid=91041" TargetMode="External"/><Relationship Id="rId82" Type="http://schemas.openxmlformats.org/officeDocument/2006/relationships/hyperlink" Target="https://nces.ed.gov/ipeds/cipcode/cipdetail.aspx?y=56&amp;cipid=91159" TargetMode="External"/><Relationship Id="rId19" Type="http://schemas.openxmlformats.org/officeDocument/2006/relationships/hyperlink" Target="https://nces.ed.gov/ipeds/cipcode/cipdetail.aspx?y=56&amp;cipid=90435" TargetMode="External"/><Relationship Id="rId14" Type="http://schemas.openxmlformats.org/officeDocument/2006/relationships/hyperlink" Target="https://nces.ed.gov/ipeds/cipcode/cipdetail.aspx?y=56&amp;cipid=89589" TargetMode="External"/><Relationship Id="rId30" Type="http://schemas.openxmlformats.org/officeDocument/2006/relationships/hyperlink" Target="https://nces.ed.gov/ipeds/cipcode/cipdetail.aspx?y=56&amp;cipid=90478" TargetMode="External"/><Relationship Id="rId35" Type="http://schemas.openxmlformats.org/officeDocument/2006/relationships/hyperlink" Target="https://nces.ed.gov/ipeds/cipcode/cipdetail.aspx?y=56&amp;cipid=90479" TargetMode="External"/><Relationship Id="rId56" Type="http://schemas.openxmlformats.org/officeDocument/2006/relationships/hyperlink" Target="https://nces.ed.gov/ipeds/cipcode/cipdetail.aspx?y=56&amp;cipid=90844" TargetMode="External"/><Relationship Id="rId77" Type="http://schemas.openxmlformats.org/officeDocument/2006/relationships/hyperlink" Target="https://nces.ed.gov/ipeds/cipcode/cipdetail.aspx?y=56&amp;cipid=91097" TargetMode="External"/><Relationship Id="rId100" Type="http://schemas.openxmlformats.org/officeDocument/2006/relationships/hyperlink" Target="https://nces.ed.gov/ipeds/cipcode/cipdetail.aspx?y=56&amp;cipid=91165" TargetMode="External"/><Relationship Id="rId105" Type="http://schemas.openxmlformats.org/officeDocument/2006/relationships/hyperlink" Target="https://nces.ed.gov/ipeds/cipcode/cipdetail.aspx?y=56&amp;cipid=91165" TargetMode="External"/><Relationship Id="rId8" Type="http://schemas.openxmlformats.org/officeDocument/2006/relationships/hyperlink" Target="https://nces.ed.gov/ipeds/cipcode/cipdetail.aspx?y=56&amp;cipid=90376" TargetMode="External"/><Relationship Id="rId51" Type="http://schemas.openxmlformats.org/officeDocument/2006/relationships/hyperlink" Target="https://nces.ed.gov/ipeds/cipcode/cipdetail.aspx?y=56&amp;cipid=91447" TargetMode="External"/><Relationship Id="rId72" Type="http://schemas.openxmlformats.org/officeDocument/2006/relationships/hyperlink" Target="https://nces.ed.gov/ipeds/cipcode/cipdetail.aspx?y=56&amp;cipid=91097" TargetMode="External"/><Relationship Id="rId93" Type="http://schemas.openxmlformats.org/officeDocument/2006/relationships/hyperlink" Target="https://nces.ed.gov/ipeds/cipcode/cipdetail.aspx?y=56&amp;cipid=91165" TargetMode="External"/><Relationship Id="rId98" Type="http://schemas.openxmlformats.org/officeDocument/2006/relationships/hyperlink" Target="https://nces.ed.gov/ipeds/cipcode/cipdetail.aspx?y=56&amp;cipid=91165" TargetMode="External"/><Relationship Id="rId3" Type="http://schemas.openxmlformats.org/officeDocument/2006/relationships/hyperlink" Target="https://nces.ed.gov/ipeds/cipcode/cipdetail.aspx?y=56&amp;cipid=90325" TargetMode="External"/><Relationship Id="rId25" Type="http://schemas.openxmlformats.org/officeDocument/2006/relationships/hyperlink" Target="https://nces.ed.gov/ipeds/cipcode/cipdetail.aspx?y=56&amp;cipid=90468" TargetMode="External"/><Relationship Id="rId46" Type="http://schemas.openxmlformats.org/officeDocument/2006/relationships/hyperlink" Target="https://nces.ed.gov/ipeds/cipcode/cipdetail.aspx?y=56&amp;cipid=90678" TargetMode="External"/><Relationship Id="rId67" Type="http://schemas.openxmlformats.org/officeDocument/2006/relationships/hyperlink" Target="https://nces.ed.gov/ipeds/cipcode/cipdetail.aspx?y=56&amp;cipid=91070" TargetMode="External"/><Relationship Id="rId116" Type="http://schemas.openxmlformats.org/officeDocument/2006/relationships/hyperlink" Target="https://nces.ed.gov/ipeds/cipcode/cipdetail.aspx?y=56&amp;cipid=90462" TargetMode="External"/><Relationship Id="rId20" Type="http://schemas.openxmlformats.org/officeDocument/2006/relationships/hyperlink" Target="https://nces.ed.gov/ipeds/cipcode/cipdetail.aspx?y=56&amp;cipid=89622" TargetMode="External"/><Relationship Id="rId41" Type="http://schemas.openxmlformats.org/officeDocument/2006/relationships/hyperlink" Target="https://nces.ed.gov/ipeds/cipcode/cipdetail.aspx?y=56&amp;cipid=90444" TargetMode="External"/><Relationship Id="rId62" Type="http://schemas.openxmlformats.org/officeDocument/2006/relationships/hyperlink" Target="https://nces.ed.gov/ipeds/cipcode/cipdetail.aspx?y=56&amp;cipid=91045" TargetMode="External"/><Relationship Id="rId83" Type="http://schemas.openxmlformats.org/officeDocument/2006/relationships/hyperlink" Target="https://nces.ed.gov/ipeds/cipcode/cipdetail.aspx?y=56&amp;cipid=91159" TargetMode="External"/><Relationship Id="rId88" Type="http://schemas.openxmlformats.org/officeDocument/2006/relationships/hyperlink" Target="https://nces.ed.gov/ipeds/cipcode/cipdetail.aspx?y=56&amp;cipid=91161" TargetMode="External"/><Relationship Id="rId111" Type="http://schemas.openxmlformats.org/officeDocument/2006/relationships/hyperlink" Target="https://nces.ed.gov/ipeds/cipcode/cipdetail.aspx?y=56&amp;cipid=91205" TargetMode="External"/><Relationship Id="rId15" Type="http://schemas.openxmlformats.org/officeDocument/2006/relationships/hyperlink" Target="https://nces.ed.gov/ipeds/cipcode/cipdetail.aspx?y=56&amp;cipid=89591" TargetMode="External"/><Relationship Id="rId36" Type="http://schemas.openxmlformats.org/officeDocument/2006/relationships/hyperlink" Target="https://nces.ed.gov/ipeds/cipcode/cipdetail.aspx?y=56&amp;cipid=90479" TargetMode="External"/><Relationship Id="rId57" Type="http://schemas.openxmlformats.org/officeDocument/2006/relationships/hyperlink" Target="https://nces.ed.gov/ipeds/cipcode/cipdetail.aspx?y=56&amp;cipid=90956" TargetMode="External"/><Relationship Id="rId106" Type="http://schemas.openxmlformats.org/officeDocument/2006/relationships/hyperlink" Target="https://nces.ed.gov/ipeds/cipcode/cipdetail.aspx?y=56&amp;cipid=91165"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nces.ed.gov/ipeds/cipcode/crosswalk.aspx?y=56"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nces.ed.gov/ipeds/cipcode/Files/CIP2020_SOC2018_Crosswalk.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O20" sqref="O20"/>
    </sheetView>
  </sheetViews>
  <sheetFormatPr defaultRowHeight="14.5" x14ac:dyDescent="0.35"/>
  <cols>
    <col min="1" max="1" width="23.5429687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185"/>
  <sheetViews>
    <sheetView zoomScale="80" zoomScaleNormal="80" workbookViewId="0">
      <pane xSplit="2" ySplit="2" topLeftCell="C15" activePane="bottomRight" state="frozen"/>
      <selection pane="topRight" activeCell="C1" sqref="C1"/>
      <selection pane="bottomLeft" activeCell="A3" sqref="A3"/>
      <selection pane="bottomRight" activeCell="D2" sqref="D2"/>
    </sheetView>
  </sheetViews>
  <sheetFormatPr defaultColWidth="0.1796875" defaultRowHeight="18.5" x14ac:dyDescent="0.45"/>
  <cols>
    <col min="1" max="1" width="16.54296875" style="51" customWidth="1"/>
    <col min="2" max="2" width="20.26953125" style="52" customWidth="1"/>
    <col min="3" max="3" width="24.453125" style="53" bestFit="1" customWidth="1"/>
    <col min="4" max="4" width="73.1796875" style="54" customWidth="1"/>
    <col min="5" max="5" width="21.54296875" style="26" customWidth="1"/>
    <col min="6" max="6" width="25.54296875" style="26" customWidth="1"/>
    <col min="7" max="7" width="60.1796875" style="14" customWidth="1"/>
    <col min="8" max="9" width="54.7265625" style="60" customWidth="1"/>
    <col min="10" max="249" width="8.7265625" style="2" customWidth="1"/>
    <col min="250" max="253" width="0.1796875" style="2" customWidth="1"/>
    <col min="254" max="256" width="58.7265625" style="2" customWidth="1"/>
    <col min="257" max="16384" width="0.1796875" style="2"/>
  </cols>
  <sheetData>
    <row r="1" spans="1:9" s="28" customFormat="1" x14ac:dyDescent="0.45">
      <c r="A1" s="30" t="s">
        <v>0</v>
      </c>
      <c r="B1" s="31" t="s">
        <v>1</v>
      </c>
      <c r="C1" s="32" t="s">
        <v>2</v>
      </c>
      <c r="D1" s="33" t="s">
        <v>3</v>
      </c>
      <c r="E1" s="19" t="s">
        <v>4</v>
      </c>
      <c r="F1" s="19" t="s">
        <v>5</v>
      </c>
      <c r="G1" s="27" t="s">
        <v>6</v>
      </c>
      <c r="H1" s="27" t="s">
        <v>7</v>
      </c>
      <c r="I1" s="27" t="s">
        <v>8</v>
      </c>
    </row>
    <row r="2" spans="1:9" s="29" customFormat="1" ht="111" x14ac:dyDescent="0.45">
      <c r="A2" s="34" t="s">
        <v>9</v>
      </c>
      <c r="B2" s="34" t="s">
        <v>10</v>
      </c>
      <c r="C2" s="34" t="s">
        <v>11</v>
      </c>
      <c r="D2" s="35" t="s">
        <v>12</v>
      </c>
      <c r="E2" s="20" t="s">
        <v>13</v>
      </c>
      <c r="F2" s="21" t="s">
        <v>14</v>
      </c>
      <c r="G2" s="21" t="s">
        <v>15</v>
      </c>
      <c r="H2" s="21" t="s">
        <v>16</v>
      </c>
      <c r="I2" s="21" t="s">
        <v>17</v>
      </c>
    </row>
    <row r="3" spans="1:9" s="3" customFormat="1" ht="74" x14ac:dyDescent="0.35">
      <c r="A3" s="36" t="s">
        <v>18</v>
      </c>
      <c r="B3" s="37" t="s">
        <v>19</v>
      </c>
      <c r="C3" s="38">
        <v>49.010100000000001</v>
      </c>
      <c r="D3" s="41" t="s">
        <v>20</v>
      </c>
      <c r="E3" s="22"/>
      <c r="F3" s="22"/>
      <c r="G3" s="15" t="s">
        <v>21</v>
      </c>
      <c r="H3" s="56"/>
      <c r="I3" s="56"/>
    </row>
    <row r="4" spans="1:9" s="3" customFormat="1" ht="55.5" x14ac:dyDescent="0.35">
      <c r="A4" s="36" t="s">
        <v>18</v>
      </c>
      <c r="B4" s="37" t="s">
        <v>22</v>
      </c>
      <c r="C4" s="38">
        <v>3.0198999999999998</v>
      </c>
      <c r="D4" s="39" t="s">
        <v>23</v>
      </c>
      <c r="E4" s="22"/>
      <c r="F4" s="22"/>
      <c r="G4" s="16" t="s">
        <v>24</v>
      </c>
      <c r="H4" s="56"/>
      <c r="I4" s="56"/>
    </row>
    <row r="5" spans="1:9" s="3" customFormat="1" ht="148" x14ac:dyDescent="0.35">
      <c r="A5" s="36" t="s">
        <v>18</v>
      </c>
      <c r="B5" s="37" t="s">
        <v>25</v>
      </c>
      <c r="C5" s="38">
        <v>13.100099999999999</v>
      </c>
      <c r="D5" s="44" t="s">
        <v>26</v>
      </c>
      <c r="E5" s="22"/>
      <c r="F5" s="22"/>
      <c r="G5" s="16" t="s">
        <v>27</v>
      </c>
      <c r="H5" s="56"/>
      <c r="I5" s="56"/>
    </row>
    <row r="6" spans="1:9" s="3" customFormat="1" ht="130.5" x14ac:dyDescent="0.35">
      <c r="A6" s="36" t="s">
        <v>18</v>
      </c>
      <c r="B6" s="37" t="s">
        <v>28</v>
      </c>
      <c r="C6" s="38">
        <v>11.010300000000001</v>
      </c>
      <c r="D6" s="41" t="s">
        <v>29</v>
      </c>
      <c r="E6" s="22"/>
      <c r="F6" s="22"/>
      <c r="G6" s="17" t="s">
        <v>30</v>
      </c>
      <c r="H6" s="56"/>
      <c r="I6" s="56"/>
    </row>
    <row r="7" spans="1:9" s="3" customFormat="1" ht="87" x14ac:dyDescent="0.35">
      <c r="A7" s="36" t="s">
        <v>18</v>
      </c>
      <c r="B7" s="37" t="s">
        <v>31</v>
      </c>
      <c r="C7" s="38">
        <v>13.1311</v>
      </c>
      <c r="D7" s="44" t="s">
        <v>32</v>
      </c>
      <c r="E7" s="22"/>
      <c r="F7" s="22"/>
      <c r="G7" s="18" t="s">
        <v>33</v>
      </c>
      <c r="H7" s="57"/>
      <c r="I7" s="56"/>
    </row>
    <row r="8" spans="1:9" s="3" customFormat="1" ht="129.5" x14ac:dyDescent="0.35">
      <c r="A8" s="36" t="s">
        <v>18</v>
      </c>
      <c r="B8" s="37" t="s">
        <v>34</v>
      </c>
      <c r="C8" s="38">
        <v>51.380099999999999</v>
      </c>
      <c r="D8" s="41" t="s">
        <v>35</v>
      </c>
      <c r="E8" s="22"/>
      <c r="F8" s="22"/>
      <c r="G8" s="18" t="s">
        <v>36</v>
      </c>
      <c r="H8" s="58"/>
      <c r="I8" s="58"/>
    </row>
    <row r="9" spans="1:9" s="3" customFormat="1" ht="87" x14ac:dyDescent="0.35">
      <c r="A9" s="36" t="s">
        <v>18</v>
      </c>
      <c r="B9" s="37" t="s">
        <v>37</v>
      </c>
      <c r="C9" s="38">
        <v>13.132199999999999</v>
      </c>
      <c r="D9" s="44" t="s">
        <v>38</v>
      </c>
      <c r="E9" s="22"/>
      <c r="F9" s="22"/>
      <c r="G9" s="18" t="s">
        <v>39</v>
      </c>
      <c r="H9" s="56"/>
      <c r="I9" s="58"/>
    </row>
    <row r="10" spans="1:9" s="3" customFormat="1" ht="87" x14ac:dyDescent="0.35">
      <c r="A10" s="36" t="s">
        <v>18</v>
      </c>
      <c r="B10" s="37" t="s">
        <v>40</v>
      </c>
      <c r="C10" s="38">
        <v>13.1311</v>
      </c>
      <c r="D10" s="44" t="s">
        <v>32</v>
      </c>
      <c r="E10" s="22"/>
      <c r="F10" s="22"/>
      <c r="G10" s="18" t="s">
        <v>33</v>
      </c>
      <c r="H10" s="57"/>
      <c r="I10" s="58"/>
    </row>
    <row r="11" spans="1:9" s="3" customFormat="1" ht="92.5" x14ac:dyDescent="0.35">
      <c r="A11" s="36" t="s">
        <v>18</v>
      </c>
      <c r="B11" s="37" t="s">
        <v>41</v>
      </c>
      <c r="C11" s="38">
        <v>52.029899999999998</v>
      </c>
      <c r="D11" s="39" t="s">
        <v>42</v>
      </c>
      <c r="E11" s="22"/>
      <c r="F11" s="22"/>
      <c r="G11" s="18" t="s">
        <v>24</v>
      </c>
      <c r="H11" s="56"/>
      <c r="I11" s="56"/>
    </row>
    <row r="12" spans="1:9" s="3" customFormat="1" ht="148" x14ac:dyDescent="0.35">
      <c r="A12" s="36" t="s">
        <v>18</v>
      </c>
      <c r="B12" s="37" t="s">
        <v>43</v>
      </c>
      <c r="C12" s="38">
        <v>52.020299999999999</v>
      </c>
      <c r="D12" s="41" t="s">
        <v>44</v>
      </c>
      <c r="E12" s="22"/>
      <c r="F12" s="22"/>
      <c r="G12" s="18" t="s">
        <v>45</v>
      </c>
      <c r="H12" s="56"/>
      <c r="I12" s="56"/>
    </row>
    <row r="13" spans="1:9" s="3" customFormat="1" ht="92.5" x14ac:dyDescent="0.35">
      <c r="A13" s="36" t="s">
        <v>18</v>
      </c>
      <c r="B13" s="37" t="s">
        <v>46</v>
      </c>
      <c r="C13" s="38">
        <v>11.1099</v>
      </c>
      <c r="D13" s="45" t="s">
        <v>47</v>
      </c>
      <c r="E13" s="22"/>
      <c r="F13" s="22"/>
      <c r="G13" s="18" t="s">
        <v>24</v>
      </c>
      <c r="H13" s="56"/>
      <c r="I13" s="58"/>
    </row>
    <row r="14" spans="1:9" s="3" customFormat="1" ht="333.5" x14ac:dyDescent="0.35">
      <c r="A14" s="36" t="s">
        <v>48</v>
      </c>
      <c r="B14" s="42" t="s">
        <v>49</v>
      </c>
      <c r="C14" s="38">
        <v>52.020099999999999</v>
      </c>
      <c r="D14" s="41" t="s">
        <v>50</v>
      </c>
      <c r="E14" s="24"/>
      <c r="F14" s="24"/>
      <c r="G14" s="18" t="s">
        <v>51</v>
      </c>
      <c r="H14" s="56"/>
      <c r="I14" s="56"/>
    </row>
    <row r="15" spans="1:9" s="3" customFormat="1" ht="74" x14ac:dyDescent="0.35">
      <c r="A15" s="36" t="s">
        <v>48</v>
      </c>
      <c r="B15" s="37" t="s">
        <v>52</v>
      </c>
      <c r="C15" s="38">
        <v>13.120200000000001</v>
      </c>
      <c r="D15" s="44" t="s">
        <v>53</v>
      </c>
      <c r="E15" s="22"/>
      <c r="F15" s="22"/>
      <c r="G15" s="18" t="s">
        <v>54</v>
      </c>
      <c r="H15" s="56"/>
      <c r="I15" s="56"/>
    </row>
    <row r="16" spans="1:9" s="3" customFormat="1" ht="87" x14ac:dyDescent="0.35">
      <c r="A16" s="36" t="s">
        <v>48</v>
      </c>
      <c r="B16" s="42" t="s">
        <v>55</v>
      </c>
      <c r="C16" s="38">
        <v>13.1305</v>
      </c>
      <c r="D16" s="44" t="s">
        <v>56</v>
      </c>
      <c r="E16" s="24"/>
      <c r="F16" s="24"/>
      <c r="G16" s="18" t="s">
        <v>57</v>
      </c>
      <c r="H16" s="56"/>
      <c r="I16" s="56"/>
    </row>
    <row r="17" spans="1:9" s="3" customFormat="1" ht="148" x14ac:dyDescent="0.35">
      <c r="A17" s="36" t="s">
        <v>48</v>
      </c>
      <c r="B17" s="37" t="s">
        <v>25</v>
      </c>
      <c r="C17" s="38">
        <v>13.100099999999999</v>
      </c>
      <c r="D17" s="44" t="s">
        <v>26</v>
      </c>
      <c r="E17" s="22"/>
      <c r="F17" s="22"/>
      <c r="G17" s="18" t="s">
        <v>27</v>
      </c>
      <c r="H17" s="56"/>
      <c r="I17" s="58"/>
    </row>
    <row r="18" spans="1:9" s="3" customFormat="1" ht="87" x14ac:dyDescent="0.35">
      <c r="A18" s="36" t="s">
        <v>48</v>
      </c>
      <c r="B18" s="37" t="s">
        <v>31</v>
      </c>
      <c r="C18" s="38">
        <v>13.1311</v>
      </c>
      <c r="D18" s="44" t="s">
        <v>32</v>
      </c>
      <c r="E18" s="22"/>
      <c r="F18" s="22"/>
      <c r="G18" s="18" t="s">
        <v>33</v>
      </c>
      <c r="H18" s="56"/>
      <c r="I18" s="58"/>
    </row>
    <row r="19" spans="1:9" s="3" customFormat="1" ht="188.5" x14ac:dyDescent="0.35">
      <c r="A19" s="36" t="s">
        <v>48</v>
      </c>
      <c r="B19" s="37" t="s">
        <v>58</v>
      </c>
      <c r="C19" s="38">
        <v>13.131600000000001</v>
      </c>
      <c r="D19" s="41" t="s">
        <v>59</v>
      </c>
      <c r="E19" s="22"/>
      <c r="F19" s="22"/>
      <c r="G19" s="18" t="s">
        <v>60</v>
      </c>
      <c r="H19" s="58"/>
      <c r="I19" s="56"/>
    </row>
    <row r="20" spans="1:9" s="3" customFormat="1" ht="129.5" x14ac:dyDescent="0.35">
      <c r="A20" s="36" t="s">
        <v>48</v>
      </c>
      <c r="B20" s="37" t="s">
        <v>34</v>
      </c>
      <c r="C20" s="38">
        <v>51.380099999999999</v>
      </c>
      <c r="D20" s="41" t="s">
        <v>35</v>
      </c>
      <c r="E20" s="22"/>
      <c r="F20" s="22"/>
      <c r="G20" s="18" t="s">
        <v>36</v>
      </c>
      <c r="H20" s="56"/>
      <c r="I20" s="56"/>
    </row>
    <row r="21" spans="1:9" s="3" customFormat="1" ht="87" x14ac:dyDescent="0.35">
      <c r="A21" s="36" t="s">
        <v>48</v>
      </c>
      <c r="B21" s="37" t="s">
        <v>40</v>
      </c>
      <c r="C21" s="38">
        <v>13.1311</v>
      </c>
      <c r="D21" s="44" t="s">
        <v>32</v>
      </c>
      <c r="E21" s="22"/>
      <c r="F21" s="22"/>
      <c r="G21" s="18" t="s">
        <v>33</v>
      </c>
      <c r="H21" s="56"/>
      <c r="I21" s="56"/>
    </row>
    <row r="22" spans="1:9" s="3" customFormat="1" ht="87" x14ac:dyDescent="0.35">
      <c r="A22" s="36" t="s">
        <v>48</v>
      </c>
      <c r="B22" s="37" t="s">
        <v>61</v>
      </c>
      <c r="C22" s="38">
        <v>13.132199999999999</v>
      </c>
      <c r="D22" s="44" t="s">
        <v>38</v>
      </c>
      <c r="E22" s="22"/>
      <c r="F22" s="22"/>
      <c r="G22" s="18" t="s">
        <v>39</v>
      </c>
      <c r="H22" s="58"/>
      <c r="I22" s="58"/>
    </row>
    <row r="23" spans="1:9" s="3" customFormat="1" ht="92.5" x14ac:dyDescent="0.35">
      <c r="A23" s="36" t="s">
        <v>62</v>
      </c>
      <c r="B23" s="42" t="s">
        <v>63</v>
      </c>
      <c r="C23" s="38">
        <v>52.029899999999998</v>
      </c>
      <c r="D23" s="39" t="s">
        <v>42</v>
      </c>
      <c r="E23" s="24"/>
      <c r="F23" s="24"/>
      <c r="G23" s="18" t="s">
        <v>24</v>
      </c>
      <c r="H23" s="56"/>
      <c r="I23" s="56"/>
    </row>
    <row r="24" spans="1:9" s="3" customFormat="1" ht="101.5" x14ac:dyDescent="0.35">
      <c r="A24" s="36" t="s">
        <v>62</v>
      </c>
      <c r="B24" s="42" t="s">
        <v>64</v>
      </c>
      <c r="C24" s="38">
        <v>13.121</v>
      </c>
      <c r="D24" s="44" t="s">
        <v>65</v>
      </c>
      <c r="E24" s="24"/>
      <c r="F24" s="24"/>
      <c r="G24" s="18" t="s">
        <v>66</v>
      </c>
      <c r="H24" s="58"/>
      <c r="I24" s="56"/>
    </row>
    <row r="25" spans="1:9" s="3" customFormat="1" ht="129.5" x14ac:dyDescent="0.35">
      <c r="A25" s="36" t="s">
        <v>62</v>
      </c>
      <c r="B25" s="42" t="s">
        <v>34</v>
      </c>
      <c r="C25" s="38">
        <v>51.380099999999999</v>
      </c>
      <c r="D25" s="41" t="s">
        <v>35</v>
      </c>
      <c r="E25" s="22"/>
      <c r="F25" s="22"/>
      <c r="G25" s="18" t="s">
        <v>36</v>
      </c>
      <c r="H25" s="56"/>
      <c r="I25" s="58"/>
    </row>
    <row r="26" spans="1:9" s="3" customFormat="1" ht="111" x14ac:dyDescent="0.35">
      <c r="A26" s="36" t="s">
        <v>67</v>
      </c>
      <c r="B26" s="40" t="s">
        <v>68</v>
      </c>
      <c r="C26" s="38">
        <v>30.3201</v>
      </c>
      <c r="D26" s="44" t="s">
        <v>69</v>
      </c>
      <c r="E26" s="23"/>
      <c r="F26" s="23"/>
      <c r="G26" s="18" t="s">
        <v>70</v>
      </c>
      <c r="H26" s="56"/>
      <c r="I26" s="56"/>
    </row>
    <row r="27" spans="1:9" s="3" customFormat="1" ht="129.5" x14ac:dyDescent="0.35">
      <c r="A27" s="36" t="s">
        <v>67</v>
      </c>
      <c r="B27" s="37" t="s">
        <v>34</v>
      </c>
      <c r="C27" s="38">
        <v>51.380099999999999</v>
      </c>
      <c r="D27" s="41" t="s">
        <v>35</v>
      </c>
      <c r="E27" s="22"/>
      <c r="F27" s="22"/>
      <c r="G27" s="18" t="s">
        <v>36</v>
      </c>
      <c r="H27" s="58"/>
      <c r="I27" s="58"/>
    </row>
    <row r="28" spans="1:9" s="3" customFormat="1" ht="92.5" x14ac:dyDescent="0.35">
      <c r="A28" s="36" t="s">
        <v>67</v>
      </c>
      <c r="B28" s="40" t="s">
        <v>41</v>
      </c>
      <c r="C28" s="38">
        <v>52.029899999999998</v>
      </c>
      <c r="D28" s="39" t="s">
        <v>42</v>
      </c>
      <c r="E28" s="23"/>
      <c r="F28" s="23"/>
      <c r="G28" s="18" t="s">
        <v>24</v>
      </c>
      <c r="H28" s="57"/>
      <c r="I28" s="56"/>
    </row>
    <row r="29" spans="1:9" s="3" customFormat="1" ht="166.5" x14ac:dyDescent="0.35">
      <c r="A29" s="36" t="s">
        <v>71</v>
      </c>
      <c r="B29" s="37" t="s">
        <v>72</v>
      </c>
      <c r="C29" s="38">
        <v>52.030099999999997</v>
      </c>
      <c r="D29" s="44" t="s">
        <v>73</v>
      </c>
      <c r="E29" s="22"/>
      <c r="F29" s="22"/>
      <c r="G29" s="18" t="s">
        <v>74</v>
      </c>
      <c r="H29" s="56"/>
      <c r="I29" s="56"/>
    </row>
    <row r="30" spans="1:9" s="3" customFormat="1" ht="74" x14ac:dyDescent="0.35">
      <c r="A30" s="36" t="s">
        <v>71</v>
      </c>
      <c r="B30" s="37" t="s">
        <v>52</v>
      </c>
      <c r="C30" s="38">
        <v>13.120200000000001</v>
      </c>
      <c r="D30" s="44" t="s">
        <v>53</v>
      </c>
      <c r="E30" s="22"/>
      <c r="F30" s="22"/>
      <c r="G30" s="18" t="s">
        <v>54</v>
      </c>
      <c r="H30" s="56"/>
      <c r="I30" s="56"/>
    </row>
    <row r="31" spans="1:9" s="3" customFormat="1" ht="55.5" x14ac:dyDescent="0.35">
      <c r="A31" s="36" t="s">
        <v>71</v>
      </c>
      <c r="B31" s="42" t="s">
        <v>75</v>
      </c>
      <c r="C31" s="38">
        <v>15.9999</v>
      </c>
      <c r="D31" s="45" t="s">
        <v>76</v>
      </c>
      <c r="E31" s="24"/>
      <c r="F31" s="24"/>
      <c r="G31" s="18" t="s">
        <v>24</v>
      </c>
      <c r="H31" s="56"/>
      <c r="I31" s="58"/>
    </row>
    <row r="32" spans="1:9" s="3" customFormat="1" ht="148" x14ac:dyDescent="0.35">
      <c r="A32" s="36" t="s">
        <v>71</v>
      </c>
      <c r="B32" s="37" t="s">
        <v>25</v>
      </c>
      <c r="C32" s="38">
        <v>13.100099999999999</v>
      </c>
      <c r="D32" s="44" t="s">
        <v>26</v>
      </c>
      <c r="E32" s="22"/>
      <c r="F32" s="22"/>
      <c r="G32" s="18" t="s">
        <v>27</v>
      </c>
      <c r="H32" s="56"/>
      <c r="I32" s="56"/>
    </row>
    <row r="33" spans="1:9" s="3" customFormat="1" ht="130.5" x14ac:dyDescent="0.35">
      <c r="A33" s="36" t="s">
        <v>71</v>
      </c>
      <c r="B33" s="42" t="s">
        <v>77</v>
      </c>
      <c r="C33" s="38">
        <v>11.010300000000001</v>
      </c>
      <c r="D33" s="41" t="s">
        <v>29</v>
      </c>
      <c r="E33" s="24"/>
      <c r="F33" s="24"/>
      <c r="G33" s="18" t="s">
        <v>30</v>
      </c>
      <c r="H33" s="56"/>
      <c r="I33" s="56"/>
    </row>
    <row r="34" spans="1:9" s="3" customFormat="1" ht="129.5" x14ac:dyDescent="0.35">
      <c r="A34" s="36" t="s">
        <v>71</v>
      </c>
      <c r="B34" s="42" t="s">
        <v>34</v>
      </c>
      <c r="C34" s="38">
        <v>51.380099999999999</v>
      </c>
      <c r="D34" s="41" t="s">
        <v>35</v>
      </c>
      <c r="E34" s="22"/>
      <c r="F34" s="22"/>
      <c r="G34" s="18" t="s">
        <v>36</v>
      </c>
      <c r="H34" s="56"/>
      <c r="I34" s="58"/>
    </row>
    <row r="35" spans="1:9" s="3" customFormat="1" ht="87" x14ac:dyDescent="0.35">
      <c r="A35" s="36" t="s">
        <v>71</v>
      </c>
      <c r="B35" s="37" t="s">
        <v>37</v>
      </c>
      <c r="C35" s="38">
        <v>13.132199999999999</v>
      </c>
      <c r="D35" s="44" t="s">
        <v>38</v>
      </c>
      <c r="E35" s="22"/>
      <c r="F35" s="22"/>
      <c r="G35" s="18" t="s">
        <v>39</v>
      </c>
      <c r="H35" s="56"/>
      <c r="I35" s="58"/>
    </row>
    <row r="36" spans="1:9" s="3" customFormat="1" ht="87" x14ac:dyDescent="0.35">
      <c r="A36" s="36" t="s">
        <v>71</v>
      </c>
      <c r="B36" s="37" t="s">
        <v>78</v>
      </c>
      <c r="C36" s="38">
        <v>13.132300000000001</v>
      </c>
      <c r="D36" s="44" t="s">
        <v>79</v>
      </c>
      <c r="E36" s="22"/>
      <c r="F36" s="22"/>
      <c r="G36" s="18" t="s">
        <v>80</v>
      </c>
      <c r="H36" s="56"/>
      <c r="I36" s="58"/>
    </row>
    <row r="37" spans="1:9" s="3" customFormat="1" ht="188.5" x14ac:dyDescent="0.35">
      <c r="A37" s="36" t="s">
        <v>71</v>
      </c>
      <c r="B37" s="37" t="s">
        <v>81</v>
      </c>
      <c r="C37" s="38">
        <v>13.131600000000001</v>
      </c>
      <c r="D37" s="41" t="s">
        <v>59</v>
      </c>
      <c r="E37" s="22"/>
      <c r="F37" s="22"/>
      <c r="G37" s="18" t="s">
        <v>60</v>
      </c>
      <c r="H37" s="56"/>
      <c r="I37" s="56"/>
    </row>
    <row r="38" spans="1:9" s="3" customFormat="1" ht="87" x14ac:dyDescent="0.35">
      <c r="A38" s="36" t="s">
        <v>71</v>
      </c>
      <c r="B38" s="37" t="s">
        <v>40</v>
      </c>
      <c r="C38" s="38">
        <v>13.1311</v>
      </c>
      <c r="D38" s="44" t="s">
        <v>32</v>
      </c>
      <c r="E38" s="22"/>
      <c r="F38" s="22"/>
      <c r="G38" s="18" t="s">
        <v>33</v>
      </c>
      <c r="H38" s="56"/>
      <c r="I38" s="56"/>
    </row>
    <row r="39" spans="1:9" s="3" customFormat="1" ht="58" x14ac:dyDescent="0.35">
      <c r="A39" s="36" t="s">
        <v>71</v>
      </c>
      <c r="B39" s="37" t="s">
        <v>82</v>
      </c>
      <c r="C39" s="38">
        <v>13.132899999999999</v>
      </c>
      <c r="D39" s="44" t="s">
        <v>83</v>
      </c>
      <c r="E39" s="22"/>
      <c r="F39" s="22"/>
      <c r="G39" s="18" t="s">
        <v>84</v>
      </c>
      <c r="H39" s="56"/>
      <c r="I39" s="58"/>
    </row>
    <row r="40" spans="1:9" s="3" customFormat="1" ht="92.5" x14ac:dyDescent="0.35">
      <c r="A40" s="36" t="s">
        <v>71</v>
      </c>
      <c r="B40" s="37" t="s">
        <v>41</v>
      </c>
      <c r="C40" s="38">
        <v>52.029899999999998</v>
      </c>
      <c r="D40" s="39" t="s">
        <v>42</v>
      </c>
      <c r="E40" s="22"/>
      <c r="F40" s="22"/>
      <c r="G40" s="18" t="s">
        <v>24</v>
      </c>
      <c r="H40" s="58"/>
      <c r="I40" s="56"/>
    </row>
    <row r="41" spans="1:9" s="3" customFormat="1" ht="185" x14ac:dyDescent="0.35">
      <c r="A41" s="36" t="s">
        <v>85</v>
      </c>
      <c r="B41" s="42" t="s">
        <v>86</v>
      </c>
      <c r="C41" s="38">
        <v>51.2211</v>
      </c>
      <c r="D41" s="41" t="s">
        <v>87</v>
      </c>
      <c r="E41" s="22"/>
      <c r="F41" s="22"/>
      <c r="G41" s="18" t="s">
        <v>88</v>
      </c>
      <c r="H41" s="56"/>
      <c r="I41" s="56"/>
    </row>
    <row r="42" spans="1:9" s="3" customFormat="1" ht="166.5" x14ac:dyDescent="0.35">
      <c r="A42" s="36" t="s">
        <v>85</v>
      </c>
      <c r="B42" s="40" t="s">
        <v>89</v>
      </c>
      <c r="C42" s="38">
        <v>11.040100000000001</v>
      </c>
      <c r="D42" s="41" t="s">
        <v>90</v>
      </c>
      <c r="E42" s="22"/>
      <c r="F42" s="22"/>
      <c r="G42" s="18" t="s">
        <v>91</v>
      </c>
      <c r="H42" s="58"/>
      <c r="I42" s="56"/>
    </row>
    <row r="43" spans="1:9" s="3" customFormat="1" ht="129.5" x14ac:dyDescent="0.35">
      <c r="A43" s="36" t="s">
        <v>85</v>
      </c>
      <c r="B43" s="42" t="s">
        <v>34</v>
      </c>
      <c r="C43" s="38">
        <v>51.380099999999999</v>
      </c>
      <c r="D43" s="41" t="s">
        <v>35</v>
      </c>
      <c r="E43" s="22"/>
      <c r="F43" s="22"/>
      <c r="G43" s="18" t="s">
        <v>36</v>
      </c>
      <c r="H43" s="56"/>
      <c r="I43" s="58"/>
    </row>
    <row r="44" spans="1:9" s="3" customFormat="1" ht="92.5" x14ac:dyDescent="0.35">
      <c r="A44" s="36" t="s">
        <v>85</v>
      </c>
      <c r="B44" s="42" t="s">
        <v>92</v>
      </c>
      <c r="C44" s="38">
        <v>52.029899999999998</v>
      </c>
      <c r="D44" s="39" t="s">
        <v>42</v>
      </c>
      <c r="E44" s="24"/>
      <c r="F44" s="24"/>
      <c r="G44" s="18" t="s">
        <v>24</v>
      </c>
      <c r="H44" s="56"/>
      <c r="I44" s="56"/>
    </row>
    <row r="45" spans="1:9" s="3" customFormat="1" ht="188.5" x14ac:dyDescent="0.35">
      <c r="A45" s="36" t="s">
        <v>85</v>
      </c>
      <c r="B45" s="42" t="s">
        <v>93</v>
      </c>
      <c r="C45" s="38">
        <v>13.131600000000001</v>
      </c>
      <c r="D45" s="41" t="s">
        <v>59</v>
      </c>
      <c r="E45" s="22"/>
      <c r="F45" s="22"/>
      <c r="G45" s="18" t="s">
        <v>60</v>
      </c>
      <c r="H45" s="56"/>
      <c r="I45" s="56"/>
    </row>
    <row r="46" spans="1:9" s="3" customFormat="1" ht="101.5" x14ac:dyDescent="0.35">
      <c r="A46" s="36" t="s">
        <v>94</v>
      </c>
      <c r="B46" s="37" t="s">
        <v>95</v>
      </c>
      <c r="C46" s="38">
        <v>13.121</v>
      </c>
      <c r="D46" s="44" t="s">
        <v>65</v>
      </c>
      <c r="E46" s="22"/>
      <c r="F46" s="22"/>
      <c r="G46" s="18" t="s">
        <v>66</v>
      </c>
      <c r="H46" s="56"/>
      <c r="I46" s="56"/>
    </row>
    <row r="47" spans="1:9" s="3" customFormat="1" ht="74" x14ac:dyDescent="0.35">
      <c r="A47" s="36" t="s">
        <v>94</v>
      </c>
      <c r="B47" s="37" t="s">
        <v>52</v>
      </c>
      <c r="C47" s="38">
        <v>13.120200000000001</v>
      </c>
      <c r="D47" s="44" t="s">
        <v>53</v>
      </c>
      <c r="E47" s="22"/>
      <c r="F47" s="22"/>
      <c r="G47" s="18" t="s">
        <v>54</v>
      </c>
      <c r="H47" s="56"/>
      <c r="I47" s="56"/>
    </row>
    <row r="48" spans="1:9" s="3" customFormat="1" ht="129.5" x14ac:dyDescent="0.35">
      <c r="A48" s="36" t="s">
        <v>94</v>
      </c>
      <c r="B48" s="37" t="s">
        <v>34</v>
      </c>
      <c r="C48" s="38">
        <v>51.380099999999999</v>
      </c>
      <c r="D48" s="41" t="s">
        <v>35</v>
      </c>
      <c r="E48" s="22"/>
      <c r="F48" s="22"/>
      <c r="G48" s="18" t="s">
        <v>36</v>
      </c>
      <c r="H48" s="56"/>
      <c r="I48" s="56"/>
    </row>
    <row r="49" spans="1:9" s="3" customFormat="1" ht="222" x14ac:dyDescent="0.35">
      <c r="A49" s="36" t="s">
        <v>94</v>
      </c>
      <c r="B49" s="40" t="s">
        <v>96</v>
      </c>
      <c r="C49" s="38">
        <v>3.0205000000000002</v>
      </c>
      <c r="D49" s="55" t="s">
        <v>97</v>
      </c>
      <c r="E49" s="23"/>
      <c r="F49" s="23"/>
      <c r="G49" s="18" t="s">
        <v>98</v>
      </c>
      <c r="H49" s="56"/>
      <c r="I49" s="56"/>
    </row>
    <row r="50" spans="1:9" s="3" customFormat="1" ht="185" x14ac:dyDescent="0.35">
      <c r="A50" s="36" t="s">
        <v>99</v>
      </c>
      <c r="B50" s="42" t="s">
        <v>100</v>
      </c>
      <c r="C50" s="38">
        <v>51.090800000000002</v>
      </c>
      <c r="D50" s="44" t="s">
        <v>101</v>
      </c>
      <c r="E50" s="24"/>
      <c r="F50" s="24"/>
      <c r="G50" s="18" t="s">
        <v>102</v>
      </c>
      <c r="H50" s="56"/>
      <c r="I50" s="59"/>
    </row>
    <row r="51" spans="1:9" s="3" customFormat="1" ht="74" x14ac:dyDescent="0.35">
      <c r="A51" s="36" t="s">
        <v>99</v>
      </c>
      <c r="B51" s="37" t="s">
        <v>52</v>
      </c>
      <c r="C51" s="38">
        <v>13.120200000000001</v>
      </c>
      <c r="D51" s="44" t="s">
        <v>53</v>
      </c>
      <c r="E51" s="22"/>
      <c r="F51" s="22"/>
      <c r="G51" s="18" t="s">
        <v>54</v>
      </c>
      <c r="H51" s="57"/>
      <c r="I51" s="56"/>
    </row>
    <row r="52" spans="1:9" s="3" customFormat="1" ht="129.5" x14ac:dyDescent="0.35">
      <c r="A52" s="36" t="s">
        <v>99</v>
      </c>
      <c r="B52" s="37" t="s">
        <v>34</v>
      </c>
      <c r="C52" s="38">
        <v>51.380099999999999</v>
      </c>
      <c r="D52" s="41" t="s">
        <v>35</v>
      </c>
      <c r="E52" s="22"/>
      <c r="F52" s="22"/>
      <c r="G52" s="18" t="s">
        <v>36</v>
      </c>
      <c r="H52" s="58"/>
      <c r="I52" s="56"/>
    </row>
    <row r="53" spans="1:9" s="3" customFormat="1" ht="74" x14ac:dyDescent="0.35">
      <c r="A53" s="36" t="s">
        <v>99</v>
      </c>
      <c r="B53" s="37" t="s">
        <v>103</v>
      </c>
      <c r="C53" s="38">
        <v>43.999899999999997</v>
      </c>
      <c r="D53" s="45" t="s">
        <v>104</v>
      </c>
      <c r="E53" s="22"/>
      <c r="F53" s="22"/>
      <c r="G53" s="18" t="s">
        <v>24</v>
      </c>
      <c r="H53" s="56"/>
      <c r="I53" s="56"/>
    </row>
    <row r="54" spans="1:9" s="3" customFormat="1" ht="92.5" x14ac:dyDescent="0.35">
      <c r="A54" s="36" t="s">
        <v>99</v>
      </c>
      <c r="B54" s="37" t="s">
        <v>41</v>
      </c>
      <c r="C54" s="38">
        <v>52.029899999999998</v>
      </c>
      <c r="D54" s="39" t="s">
        <v>42</v>
      </c>
      <c r="E54" s="22"/>
      <c r="F54" s="22"/>
      <c r="G54" s="18" t="s">
        <v>24</v>
      </c>
      <c r="H54" s="56"/>
      <c r="I54" s="56"/>
    </row>
    <row r="55" spans="1:9" s="3" customFormat="1" ht="129.5" x14ac:dyDescent="0.35">
      <c r="A55" s="36" t="s">
        <v>105</v>
      </c>
      <c r="B55" s="42" t="s">
        <v>106</v>
      </c>
      <c r="C55" s="38">
        <v>26.010200000000001</v>
      </c>
      <c r="D55" s="44" t="s">
        <v>107</v>
      </c>
      <c r="E55" s="24"/>
      <c r="F55" s="24"/>
      <c r="G55" s="18" t="s">
        <v>108</v>
      </c>
      <c r="H55" s="58"/>
      <c r="I55" s="56"/>
    </row>
    <row r="56" spans="1:9" s="3" customFormat="1" ht="333.5" x14ac:dyDescent="0.35">
      <c r="A56" s="36" t="s">
        <v>105</v>
      </c>
      <c r="B56" s="42" t="s">
        <v>49</v>
      </c>
      <c r="C56" s="38">
        <v>52.020099999999999</v>
      </c>
      <c r="D56" s="41" t="s">
        <v>50</v>
      </c>
      <c r="E56" s="24"/>
      <c r="F56" s="24"/>
      <c r="G56" s="18" t="s">
        <v>51</v>
      </c>
      <c r="H56" s="56"/>
      <c r="I56" s="56"/>
    </row>
    <row r="57" spans="1:9" s="3" customFormat="1" ht="166.5" x14ac:dyDescent="0.35">
      <c r="A57" s="36" t="s">
        <v>105</v>
      </c>
      <c r="B57" s="37" t="s">
        <v>109</v>
      </c>
      <c r="C57" s="43">
        <v>11.0901</v>
      </c>
      <c r="D57" s="44" t="s">
        <v>110</v>
      </c>
      <c r="E57" s="22"/>
      <c r="F57" s="22"/>
      <c r="G57" s="18" t="s">
        <v>111</v>
      </c>
      <c r="H57" s="56"/>
      <c r="I57" s="56"/>
    </row>
    <row r="58" spans="1:9" s="3" customFormat="1" ht="166.5" x14ac:dyDescent="0.35">
      <c r="A58" s="36" t="s">
        <v>105</v>
      </c>
      <c r="B58" s="37" t="s">
        <v>112</v>
      </c>
      <c r="C58" s="38">
        <v>9.0101999999999993</v>
      </c>
      <c r="D58" s="41" t="s">
        <v>113</v>
      </c>
      <c r="E58" s="22"/>
      <c r="F58" s="22"/>
      <c r="G58" s="18" t="s">
        <v>114</v>
      </c>
      <c r="H58" s="56"/>
      <c r="I58" s="56"/>
    </row>
    <row r="59" spans="1:9" s="3" customFormat="1" ht="166.5" x14ac:dyDescent="0.35">
      <c r="A59" s="36" t="s">
        <v>105</v>
      </c>
      <c r="B59" s="37" t="s">
        <v>115</v>
      </c>
      <c r="C59" s="38">
        <v>10.0304</v>
      </c>
      <c r="D59" s="41" t="s">
        <v>116</v>
      </c>
      <c r="E59" s="22"/>
      <c r="F59" s="22"/>
      <c r="G59" s="18" t="s">
        <v>117</v>
      </c>
      <c r="H59" s="56"/>
      <c r="I59" s="56"/>
    </row>
    <row r="60" spans="1:9" s="3" customFormat="1" ht="101.5" x14ac:dyDescent="0.35">
      <c r="A60" s="36" t="s">
        <v>105</v>
      </c>
      <c r="B60" s="37" t="s">
        <v>118</v>
      </c>
      <c r="C60" s="38">
        <v>13.121</v>
      </c>
      <c r="D60" s="44" t="s">
        <v>65</v>
      </c>
      <c r="E60" s="22"/>
      <c r="F60" s="22"/>
      <c r="G60" s="18" t="s">
        <v>66</v>
      </c>
      <c r="H60" s="56"/>
      <c r="I60" s="56"/>
    </row>
    <row r="61" spans="1:9" s="3" customFormat="1" ht="111" x14ac:dyDescent="0.35">
      <c r="A61" s="36" t="s">
        <v>105</v>
      </c>
      <c r="B61" s="37" t="s">
        <v>119</v>
      </c>
      <c r="C61" s="38">
        <v>52.080300000000001</v>
      </c>
      <c r="D61" s="44" t="s">
        <v>120</v>
      </c>
      <c r="E61" s="22"/>
      <c r="F61" s="22"/>
      <c r="G61" s="18" t="s">
        <v>121</v>
      </c>
      <c r="H61" s="56"/>
      <c r="I61" s="56"/>
    </row>
    <row r="62" spans="1:9" s="3" customFormat="1" ht="148" x14ac:dyDescent="0.35">
      <c r="A62" s="36" t="s">
        <v>105</v>
      </c>
      <c r="B62" s="37" t="s">
        <v>122</v>
      </c>
      <c r="C62" s="38">
        <v>44</v>
      </c>
      <c r="D62" s="44" t="s">
        <v>123</v>
      </c>
      <c r="E62" s="22"/>
      <c r="F62" s="22"/>
      <c r="G62" s="18" t="s">
        <v>124</v>
      </c>
      <c r="H62" s="58"/>
      <c r="I62" s="56"/>
    </row>
    <row r="63" spans="1:9" s="3" customFormat="1" ht="92.5" x14ac:dyDescent="0.35">
      <c r="A63" s="36" t="s">
        <v>105</v>
      </c>
      <c r="B63" s="37" t="s">
        <v>125</v>
      </c>
      <c r="C63" s="38">
        <v>11.1099</v>
      </c>
      <c r="D63" s="45" t="s">
        <v>47</v>
      </c>
      <c r="E63" s="22"/>
      <c r="F63" s="22"/>
      <c r="G63" s="18" t="s">
        <v>24</v>
      </c>
      <c r="H63" s="56"/>
      <c r="I63" s="56"/>
    </row>
    <row r="64" spans="1:9" s="3" customFormat="1" ht="148" x14ac:dyDescent="0.35">
      <c r="A64" s="36" t="s">
        <v>105</v>
      </c>
      <c r="B64" s="37" t="s">
        <v>126</v>
      </c>
      <c r="C64" s="38">
        <v>52.020299999999999</v>
      </c>
      <c r="D64" s="41" t="s">
        <v>44</v>
      </c>
      <c r="E64" s="22"/>
      <c r="F64" s="22"/>
      <c r="G64" s="18" t="s">
        <v>45</v>
      </c>
      <c r="H64" s="58"/>
      <c r="I64" s="56"/>
    </row>
    <row r="65" spans="1:9" s="3" customFormat="1" ht="129.5" x14ac:dyDescent="0.35">
      <c r="A65" s="36" t="s">
        <v>105</v>
      </c>
      <c r="B65" s="37" t="s">
        <v>34</v>
      </c>
      <c r="C65" s="38">
        <v>51.380099999999999</v>
      </c>
      <c r="D65" s="41" t="s">
        <v>35</v>
      </c>
      <c r="E65" s="22"/>
      <c r="F65" s="22"/>
      <c r="G65" s="18" t="s">
        <v>36</v>
      </c>
      <c r="H65" s="56"/>
      <c r="I65" s="56"/>
    </row>
    <row r="66" spans="1:9" s="3" customFormat="1" ht="74" x14ac:dyDescent="0.35">
      <c r="A66" s="36" t="s">
        <v>105</v>
      </c>
      <c r="B66" s="37" t="s">
        <v>127</v>
      </c>
      <c r="C66" s="38">
        <v>43.999899999999997</v>
      </c>
      <c r="D66" s="45" t="s">
        <v>104</v>
      </c>
      <c r="E66" s="22"/>
      <c r="F66" s="22"/>
      <c r="G66" s="18" t="s">
        <v>24</v>
      </c>
      <c r="H66" s="56"/>
      <c r="I66" s="56"/>
    </row>
    <row r="67" spans="1:9" s="3" customFormat="1" ht="92.5" x14ac:dyDescent="0.35">
      <c r="A67" s="36" t="s">
        <v>105</v>
      </c>
      <c r="B67" s="37" t="s">
        <v>41</v>
      </c>
      <c r="C67" s="38">
        <v>52.029899999999998</v>
      </c>
      <c r="D67" s="39" t="s">
        <v>42</v>
      </c>
      <c r="E67" s="22"/>
      <c r="F67" s="22"/>
      <c r="G67" s="18" t="s">
        <v>24</v>
      </c>
      <c r="H67" s="56"/>
      <c r="I67" s="56"/>
    </row>
    <row r="68" spans="1:9" s="3" customFormat="1" ht="166.5" x14ac:dyDescent="0.35">
      <c r="A68" s="36" t="s">
        <v>128</v>
      </c>
      <c r="B68" s="42" t="s">
        <v>115</v>
      </c>
      <c r="C68" s="38">
        <v>10.0304</v>
      </c>
      <c r="D68" s="41" t="s">
        <v>116</v>
      </c>
      <c r="E68" s="24"/>
      <c r="F68" s="24"/>
      <c r="G68" s="18" t="s">
        <v>117</v>
      </c>
      <c r="H68" s="56"/>
      <c r="I68" s="56"/>
    </row>
    <row r="69" spans="1:9" s="3" customFormat="1" ht="129.5" x14ac:dyDescent="0.35">
      <c r="A69" s="36" t="s">
        <v>128</v>
      </c>
      <c r="B69" s="42" t="s">
        <v>34</v>
      </c>
      <c r="C69" s="38">
        <v>51.380099999999999</v>
      </c>
      <c r="D69" s="41" t="s">
        <v>35</v>
      </c>
      <c r="E69" s="22"/>
      <c r="F69" s="22"/>
      <c r="G69" s="18" t="s">
        <v>36</v>
      </c>
      <c r="H69" s="56"/>
      <c r="I69" s="56"/>
    </row>
    <row r="70" spans="1:9" s="3" customFormat="1" ht="92.5" x14ac:dyDescent="0.35">
      <c r="A70" s="36" t="s">
        <v>128</v>
      </c>
      <c r="B70" s="42" t="s">
        <v>92</v>
      </c>
      <c r="C70" s="38">
        <v>52.029899999999998</v>
      </c>
      <c r="D70" s="39" t="s">
        <v>42</v>
      </c>
      <c r="E70" s="24"/>
      <c r="F70" s="24"/>
      <c r="G70" s="18" t="s">
        <v>24</v>
      </c>
      <c r="H70" s="56"/>
      <c r="I70" s="56"/>
    </row>
    <row r="71" spans="1:9" s="3" customFormat="1" ht="92.5" x14ac:dyDescent="0.35">
      <c r="A71" s="36" t="s">
        <v>128</v>
      </c>
      <c r="B71" s="42" t="s">
        <v>46</v>
      </c>
      <c r="C71" s="38">
        <v>11.1099</v>
      </c>
      <c r="D71" s="45" t="s">
        <v>47</v>
      </c>
      <c r="E71" s="24"/>
      <c r="F71" s="24"/>
      <c r="G71" s="18" t="s">
        <v>24</v>
      </c>
      <c r="H71" s="58"/>
      <c r="I71" s="57"/>
    </row>
    <row r="72" spans="1:9" s="3" customFormat="1" ht="166.5" x14ac:dyDescent="0.35">
      <c r="A72" s="36" t="s">
        <v>129</v>
      </c>
      <c r="B72" s="42" t="s">
        <v>72</v>
      </c>
      <c r="C72" s="38">
        <v>52.030099999999997</v>
      </c>
      <c r="D72" s="44" t="s">
        <v>73</v>
      </c>
      <c r="E72" s="24"/>
      <c r="F72" s="24"/>
      <c r="G72" s="18" t="s">
        <v>74</v>
      </c>
      <c r="H72" s="56"/>
      <c r="I72" s="56"/>
    </row>
    <row r="73" spans="1:9" s="3" customFormat="1" ht="145" x14ac:dyDescent="0.35">
      <c r="A73" s="36" t="s">
        <v>129</v>
      </c>
      <c r="B73" s="42" t="s">
        <v>130</v>
      </c>
      <c r="C73" s="38">
        <v>26.010100000000001</v>
      </c>
      <c r="D73" s="44" t="s">
        <v>131</v>
      </c>
      <c r="E73" s="24"/>
      <c r="F73" s="24"/>
      <c r="G73" s="18" t="s">
        <v>132</v>
      </c>
      <c r="H73" s="56"/>
      <c r="I73" s="56"/>
    </row>
    <row r="74" spans="1:9" s="3" customFormat="1" ht="333.5" x14ac:dyDescent="0.35">
      <c r="A74" s="36" t="s">
        <v>129</v>
      </c>
      <c r="B74" s="42" t="s">
        <v>49</v>
      </c>
      <c r="C74" s="38">
        <v>52.020099999999999</v>
      </c>
      <c r="D74" s="41" t="s">
        <v>50</v>
      </c>
      <c r="E74" s="24"/>
      <c r="F74" s="24"/>
      <c r="G74" s="18" t="s">
        <v>51</v>
      </c>
      <c r="H74" s="56"/>
      <c r="I74" s="56"/>
    </row>
    <row r="75" spans="1:9" s="3" customFormat="1" ht="111" x14ac:dyDescent="0.35">
      <c r="A75" s="36" t="s">
        <v>129</v>
      </c>
      <c r="B75" s="42" t="s">
        <v>133</v>
      </c>
      <c r="C75" s="38">
        <v>43.010399999999997</v>
      </c>
      <c r="D75" s="44" t="s">
        <v>134</v>
      </c>
      <c r="E75" s="24"/>
      <c r="F75" s="24"/>
      <c r="G75" s="18" t="s">
        <v>135</v>
      </c>
      <c r="H75" s="57"/>
      <c r="I75" s="58"/>
    </row>
    <row r="76" spans="1:9" s="3" customFormat="1" ht="166.5" x14ac:dyDescent="0.35">
      <c r="A76" s="36" t="s">
        <v>129</v>
      </c>
      <c r="B76" s="42" t="s">
        <v>115</v>
      </c>
      <c r="C76" s="38">
        <v>10.0304</v>
      </c>
      <c r="D76" s="41" t="s">
        <v>116</v>
      </c>
      <c r="E76" s="24"/>
      <c r="F76" s="24"/>
      <c r="G76" s="18" t="s">
        <v>117</v>
      </c>
      <c r="H76" s="58"/>
      <c r="I76" s="56"/>
    </row>
    <row r="77" spans="1:9" s="3" customFormat="1" ht="74" x14ac:dyDescent="0.35">
      <c r="A77" s="36" t="s">
        <v>129</v>
      </c>
      <c r="B77" s="42" t="s">
        <v>52</v>
      </c>
      <c r="C77" s="38">
        <v>13.120200000000001</v>
      </c>
      <c r="D77" s="44" t="s">
        <v>53</v>
      </c>
      <c r="E77" s="24"/>
      <c r="F77" s="24"/>
      <c r="G77" s="18" t="s">
        <v>54</v>
      </c>
      <c r="H77" s="59"/>
      <c r="I77" s="56"/>
    </row>
    <row r="78" spans="1:9" s="3" customFormat="1" ht="148" x14ac:dyDescent="0.35">
      <c r="A78" s="36" t="s">
        <v>129</v>
      </c>
      <c r="B78" s="37" t="s">
        <v>136</v>
      </c>
      <c r="C78" s="38">
        <v>13.100099999999999</v>
      </c>
      <c r="D78" s="44" t="s">
        <v>26</v>
      </c>
      <c r="E78" s="22"/>
      <c r="F78" s="22"/>
      <c r="G78" s="18" t="s">
        <v>27</v>
      </c>
      <c r="H78" s="56"/>
      <c r="I78" s="58"/>
    </row>
    <row r="79" spans="1:9" s="3" customFormat="1" ht="148" x14ac:dyDescent="0.35">
      <c r="A79" s="36" t="s">
        <v>129</v>
      </c>
      <c r="B79" s="42" t="s">
        <v>137</v>
      </c>
      <c r="C79" s="38">
        <v>51.070099999999996</v>
      </c>
      <c r="D79" s="44" t="s">
        <v>138</v>
      </c>
      <c r="E79" s="24"/>
      <c r="F79" s="24"/>
      <c r="G79" s="18" t="s">
        <v>88</v>
      </c>
      <c r="H79" s="56"/>
      <c r="I79" s="56"/>
    </row>
    <row r="80" spans="1:9" s="3" customFormat="1" ht="148" x14ac:dyDescent="0.35">
      <c r="A80" s="36" t="s">
        <v>129</v>
      </c>
      <c r="B80" s="42" t="s">
        <v>122</v>
      </c>
      <c r="C80" s="38">
        <v>44</v>
      </c>
      <c r="D80" s="44" t="s">
        <v>123</v>
      </c>
      <c r="E80" s="24"/>
      <c r="F80" s="24"/>
      <c r="G80" s="18" t="s">
        <v>124</v>
      </c>
      <c r="H80" s="56"/>
      <c r="I80" s="56"/>
    </row>
    <row r="81" spans="1:9" s="3" customFormat="1" ht="130.5" x14ac:dyDescent="0.35">
      <c r="A81" s="36" t="s">
        <v>129</v>
      </c>
      <c r="B81" s="42" t="s">
        <v>139</v>
      </c>
      <c r="C81" s="38">
        <v>11.010300000000001</v>
      </c>
      <c r="D81" s="41" t="s">
        <v>29</v>
      </c>
      <c r="E81" s="24"/>
      <c r="F81" s="24"/>
      <c r="G81" s="18" t="s">
        <v>30</v>
      </c>
      <c r="H81" s="56"/>
      <c r="I81" s="56"/>
    </row>
    <row r="82" spans="1:9" s="3" customFormat="1" ht="87" x14ac:dyDescent="0.35">
      <c r="A82" s="36" t="s">
        <v>129</v>
      </c>
      <c r="B82" s="37" t="s">
        <v>31</v>
      </c>
      <c r="C82" s="38">
        <v>13.1311</v>
      </c>
      <c r="D82" s="44" t="s">
        <v>32</v>
      </c>
      <c r="E82" s="22"/>
      <c r="F82" s="22"/>
      <c r="G82" s="18" t="s">
        <v>33</v>
      </c>
      <c r="H82" s="58"/>
      <c r="I82" s="56"/>
    </row>
    <row r="83" spans="1:9" s="3" customFormat="1" ht="188.5" x14ac:dyDescent="0.35">
      <c r="A83" s="36" t="s">
        <v>129</v>
      </c>
      <c r="B83" s="37" t="s">
        <v>58</v>
      </c>
      <c r="C83" s="38">
        <v>13.131600000000001</v>
      </c>
      <c r="D83" s="41" t="s">
        <v>59</v>
      </c>
      <c r="E83" s="22"/>
      <c r="F83" s="22"/>
      <c r="G83" s="18" t="s">
        <v>60</v>
      </c>
      <c r="H83" s="56"/>
      <c r="I83" s="58"/>
    </row>
    <row r="84" spans="1:9" s="3" customFormat="1" ht="129.5" x14ac:dyDescent="0.35">
      <c r="A84" s="36" t="s">
        <v>129</v>
      </c>
      <c r="B84" s="37" t="s">
        <v>34</v>
      </c>
      <c r="C84" s="38">
        <v>51.380099999999999</v>
      </c>
      <c r="D84" s="41" t="s">
        <v>35</v>
      </c>
      <c r="E84" s="22"/>
      <c r="F84" s="22"/>
      <c r="G84" s="18" t="s">
        <v>36</v>
      </c>
      <c r="H84" s="56"/>
      <c r="I84" s="56"/>
    </row>
    <row r="85" spans="1:9" s="3" customFormat="1" ht="92.5" x14ac:dyDescent="0.35">
      <c r="A85" s="36" t="s">
        <v>129</v>
      </c>
      <c r="B85" s="37" t="s">
        <v>92</v>
      </c>
      <c r="C85" s="38">
        <v>52.029899999999998</v>
      </c>
      <c r="D85" s="39" t="s">
        <v>42</v>
      </c>
      <c r="E85" s="22"/>
      <c r="F85" s="22"/>
      <c r="G85" s="18" t="s">
        <v>24</v>
      </c>
      <c r="H85" s="57"/>
      <c r="I85" s="56"/>
    </row>
    <row r="86" spans="1:9" s="3" customFormat="1" ht="148" x14ac:dyDescent="0.35">
      <c r="A86" s="36" t="s">
        <v>129</v>
      </c>
      <c r="B86" s="42" t="s">
        <v>140</v>
      </c>
      <c r="C86" s="38">
        <v>44.040100000000002</v>
      </c>
      <c r="D86" s="44" t="s">
        <v>141</v>
      </c>
      <c r="E86" s="24"/>
      <c r="F86" s="24"/>
      <c r="G86" s="18" t="s">
        <v>142</v>
      </c>
      <c r="H86" s="56"/>
      <c r="I86" s="56"/>
    </row>
    <row r="87" spans="1:9" s="3" customFormat="1" ht="87" x14ac:dyDescent="0.35">
      <c r="A87" s="36" t="s">
        <v>129</v>
      </c>
      <c r="B87" s="37" t="s">
        <v>37</v>
      </c>
      <c r="C87" s="38">
        <v>13.132199999999999</v>
      </c>
      <c r="D87" s="44" t="s">
        <v>38</v>
      </c>
      <c r="E87" s="22"/>
      <c r="F87" s="22"/>
      <c r="G87" s="18" t="s">
        <v>39</v>
      </c>
      <c r="H87" s="58"/>
      <c r="I87" s="58"/>
    </row>
    <row r="88" spans="1:9" s="3" customFormat="1" ht="87" x14ac:dyDescent="0.35">
      <c r="A88" s="36" t="s">
        <v>129</v>
      </c>
      <c r="B88" s="37" t="s">
        <v>40</v>
      </c>
      <c r="C88" s="38">
        <v>13.1311</v>
      </c>
      <c r="D88" s="44" t="s">
        <v>32</v>
      </c>
      <c r="E88" s="22"/>
      <c r="F88" s="22"/>
      <c r="G88" s="18" t="s">
        <v>33</v>
      </c>
      <c r="H88" s="58"/>
      <c r="I88" s="56"/>
    </row>
    <row r="89" spans="1:9" s="3" customFormat="1" ht="129.5" x14ac:dyDescent="0.35">
      <c r="A89" s="36" t="s">
        <v>143</v>
      </c>
      <c r="B89" s="37" t="s">
        <v>34</v>
      </c>
      <c r="C89" s="38">
        <v>51.380099999999999</v>
      </c>
      <c r="D89" s="41" t="s">
        <v>35</v>
      </c>
      <c r="E89" s="22"/>
      <c r="F89" s="22"/>
      <c r="G89" s="18" t="s">
        <v>36</v>
      </c>
      <c r="H89" s="57"/>
      <c r="I89" s="56"/>
    </row>
    <row r="90" spans="1:9" s="3" customFormat="1" ht="92.5" x14ac:dyDescent="0.35">
      <c r="A90" s="36" t="s">
        <v>143</v>
      </c>
      <c r="B90" s="37" t="s">
        <v>92</v>
      </c>
      <c r="C90" s="38">
        <v>52.029899999999998</v>
      </c>
      <c r="D90" s="39" t="s">
        <v>42</v>
      </c>
      <c r="E90" s="22"/>
      <c r="F90" s="22"/>
      <c r="G90" s="18" t="s">
        <v>24</v>
      </c>
      <c r="H90" s="57"/>
      <c r="I90" s="56"/>
    </row>
    <row r="91" spans="1:9" s="3" customFormat="1" ht="145" x14ac:dyDescent="0.35">
      <c r="A91" s="36" t="s">
        <v>144</v>
      </c>
      <c r="B91" s="37" t="s">
        <v>145</v>
      </c>
      <c r="C91" s="38">
        <v>26.010100000000001</v>
      </c>
      <c r="D91" s="44" t="s">
        <v>131</v>
      </c>
      <c r="E91" s="22"/>
      <c r="F91" s="22"/>
      <c r="G91" s="18" t="s">
        <v>132</v>
      </c>
      <c r="H91" s="58"/>
      <c r="I91" s="56"/>
    </row>
    <row r="92" spans="1:9" s="3" customFormat="1" ht="185" x14ac:dyDescent="0.35">
      <c r="A92" s="36" t="s">
        <v>144</v>
      </c>
      <c r="B92" s="37" t="s">
        <v>146</v>
      </c>
      <c r="C92" s="38">
        <v>11.100300000000001</v>
      </c>
      <c r="D92" s="41" t="s">
        <v>147</v>
      </c>
      <c r="E92" s="22"/>
      <c r="F92" s="22"/>
      <c r="G92" s="18" t="s">
        <v>148</v>
      </c>
      <c r="H92" s="58"/>
      <c r="I92" s="56"/>
    </row>
    <row r="93" spans="1:9" s="3" customFormat="1" ht="159.5" x14ac:dyDescent="0.35">
      <c r="A93" s="36" t="s">
        <v>144</v>
      </c>
      <c r="B93" s="37" t="s">
        <v>149</v>
      </c>
      <c r="C93" s="38">
        <v>11.0101</v>
      </c>
      <c r="D93" s="41" t="s">
        <v>150</v>
      </c>
      <c r="E93" s="22"/>
      <c r="F93" s="22"/>
      <c r="G93" s="18" t="s">
        <v>151</v>
      </c>
      <c r="H93" s="56"/>
      <c r="I93" s="56"/>
    </row>
    <row r="94" spans="1:9" s="3" customFormat="1" ht="101.5" x14ac:dyDescent="0.35">
      <c r="A94" s="36" t="s">
        <v>144</v>
      </c>
      <c r="B94" s="37" t="s">
        <v>152</v>
      </c>
      <c r="C94" s="48">
        <v>13.121</v>
      </c>
      <c r="D94" s="44" t="s">
        <v>65</v>
      </c>
      <c r="E94" s="22"/>
      <c r="F94" s="22"/>
      <c r="G94" s="18" t="s">
        <v>66</v>
      </c>
      <c r="H94" s="58"/>
      <c r="I94" s="56"/>
    </row>
    <row r="95" spans="1:9" s="3" customFormat="1" ht="145" x14ac:dyDescent="0.35">
      <c r="A95" s="36" t="s">
        <v>144</v>
      </c>
      <c r="B95" s="42" t="s">
        <v>153</v>
      </c>
      <c r="C95" s="38">
        <v>15.0303</v>
      </c>
      <c r="D95" s="44" t="s">
        <v>154</v>
      </c>
      <c r="E95" s="24"/>
      <c r="F95" s="24"/>
      <c r="G95" s="18" t="s">
        <v>155</v>
      </c>
      <c r="H95" s="58"/>
      <c r="I95" s="56"/>
    </row>
    <row r="96" spans="1:9" s="3" customFormat="1" ht="148" x14ac:dyDescent="0.35">
      <c r="A96" s="36" t="s">
        <v>144</v>
      </c>
      <c r="B96" s="37" t="s">
        <v>25</v>
      </c>
      <c r="C96" s="38">
        <v>13.100099999999999</v>
      </c>
      <c r="D96" s="44" t="s">
        <v>26</v>
      </c>
      <c r="E96" s="22"/>
      <c r="F96" s="22"/>
      <c r="G96" s="18" t="s">
        <v>27</v>
      </c>
      <c r="H96" s="58"/>
      <c r="I96" s="56"/>
    </row>
    <row r="97" spans="1:9" s="3" customFormat="1" ht="148" x14ac:dyDescent="0.35">
      <c r="A97" s="36" t="s">
        <v>144</v>
      </c>
      <c r="B97" s="37" t="s">
        <v>156</v>
      </c>
      <c r="C97" s="38">
        <v>50.060200000000002</v>
      </c>
      <c r="D97" s="44" t="s">
        <v>157</v>
      </c>
      <c r="E97" s="22"/>
      <c r="F97" s="22"/>
      <c r="G97" s="18" t="s">
        <v>158</v>
      </c>
      <c r="H97" s="56"/>
      <c r="I97" s="56"/>
    </row>
    <row r="98" spans="1:9" s="3" customFormat="1" ht="111" x14ac:dyDescent="0.35">
      <c r="A98" s="36" t="s">
        <v>144</v>
      </c>
      <c r="B98" s="37" t="s">
        <v>159</v>
      </c>
      <c r="C98" s="38">
        <v>51</v>
      </c>
      <c r="D98" s="44" t="s">
        <v>160</v>
      </c>
      <c r="E98" s="22"/>
      <c r="F98" s="22"/>
      <c r="G98" s="18" t="s">
        <v>24</v>
      </c>
      <c r="H98" s="56"/>
      <c r="I98" s="57"/>
    </row>
    <row r="99" spans="1:9" s="3" customFormat="1" ht="130.5" x14ac:dyDescent="0.35">
      <c r="A99" s="36" t="s">
        <v>144</v>
      </c>
      <c r="B99" s="37" t="s">
        <v>161</v>
      </c>
      <c r="C99" s="38">
        <v>11.010300000000001</v>
      </c>
      <c r="D99" s="41" t="s">
        <v>29</v>
      </c>
      <c r="E99" s="22"/>
      <c r="F99" s="22"/>
      <c r="G99" s="18" t="s">
        <v>30</v>
      </c>
      <c r="H99" s="56"/>
      <c r="I99" s="58"/>
    </row>
    <row r="100" spans="1:9" s="3" customFormat="1" ht="129.5" x14ac:dyDescent="0.35">
      <c r="A100" s="36" t="s">
        <v>144</v>
      </c>
      <c r="B100" s="37" t="s">
        <v>34</v>
      </c>
      <c r="C100" s="38">
        <v>51.380099999999999</v>
      </c>
      <c r="D100" s="41" t="s">
        <v>35</v>
      </c>
      <c r="E100" s="22"/>
      <c r="F100" s="22"/>
      <c r="G100" s="18" t="s">
        <v>36</v>
      </c>
      <c r="H100" s="58"/>
      <c r="I100" s="57"/>
    </row>
    <row r="101" spans="1:9" s="3" customFormat="1" ht="74" x14ac:dyDescent="0.35">
      <c r="A101" s="36" t="s">
        <v>144</v>
      </c>
      <c r="B101" s="37" t="s">
        <v>127</v>
      </c>
      <c r="C101" s="38">
        <v>43.999899999999997</v>
      </c>
      <c r="D101" s="45" t="s">
        <v>104</v>
      </c>
      <c r="E101" s="22"/>
      <c r="F101" s="22"/>
      <c r="G101" s="18" t="s">
        <v>24</v>
      </c>
      <c r="H101" s="56"/>
      <c r="I101" s="56"/>
    </row>
    <row r="102" spans="1:9" s="3" customFormat="1" ht="87" x14ac:dyDescent="0.35">
      <c r="A102" s="36" t="s">
        <v>144</v>
      </c>
      <c r="B102" s="37" t="s">
        <v>37</v>
      </c>
      <c r="C102" s="38">
        <v>13.132199999999999</v>
      </c>
      <c r="D102" s="44" t="s">
        <v>38</v>
      </c>
      <c r="E102" s="22"/>
      <c r="F102" s="22"/>
      <c r="G102" s="18" t="s">
        <v>39</v>
      </c>
      <c r="H102" s="56"/>
      <c r="I102" s="58"/>
    </row>
    <row r="103" spans="1:9" s="3" customFormat="1" ht="87" x14ac:dyDescent="0.35">
      <c r="A103" s="36" t="s">
        <v>144</v>
      </c>
      <c r="B103" s="37" t="s">
        <v>78</v>
      </c>
      <c r="C103" s="38">
        <v>13.132300000000001</v>
      </c>
      <c r="D103" s="44" t="s">
        <v>79</v>
      </c>
      <c r="E103" s="22"/>
      <c r="F103" s="22"/>
      <c r="G103" s="18" t="s">
        <v>80</v>
      </c>
      <c r="H103" s="58"/>
      <c r="I103" s="56"/>
    </row>
    <row r="104" spans="1:9" s="3" customFormat="1" ht="188.5" x14ac:dyDescent="0.35">
      <c r="A104" s="36" t="s">
        <v>144</v>
      </c>
      <c r="B104" s="37" t="s">
        <v>162</v>
      </c>
      <c r="C104" s="38">
        <v>13.131600000000001</v>
      </c>
      <c r="D104" s="41" t="s">
        <v>59</v>
      </c>
      <c r="E104" s="22"/>
      <c r="F104" s="22"/>
      <c r="G104" s="18" t="s">
        <v>60</v>
      </c>
      <c r="H104" s="58"/>
      <c r="I104" s="56"/>
    </row>
    <row r="105" spans="1:9" s="3" customFormat="1" ht="87" x14ac:dyDescent="0.35">
      <c r="A105" s="36" t="s">
        <v>144</v>
      </c>
      <c r="B105" s="37" t="s">
        <v>40</v>
      </c>
      <c r="C105" s="38">
        <v>13.1311</v>
      </c>
      <c r="D105" s="44" t="s">
        <v>32</v>
      </c>
      <c r="E105" s="22"/>
      <c r="F105" s="22"/>
      <c r="G105" s="18" t="s">
        <v>33</v>
      </c>
      <c r="H105" s="56"/>
      <c r="I105" s="56"/>
    </row>
    <row r="106" spans="1:9" s="3" customFormat="1" ht="58" x14ac:dyDescent="0.35">
      <c r="A106" s="36" t="s">
        <v>144</v>
      </c>
      <c r="B106" s="37" t="s">
        <v>82</v>
      </c>
      <c r="C106" s="38">
        <v>13.132899999999999</v>
      </c>
      <c r="D106" s="44" t="s">
        <v>83</v>
      </c>
      <c r="E106" s="22"/>
      <c r="F106" s="22"/>
      <c r="G106" s="18" t="s">
        <v>84</v>
      </c>
      <c r="H106" s="56"/>
      <c r="I106" s="58"/>
    </row>
    <row r="107" spans="1:9" s="3" customFormat="1" ht="92.5" x14ac:dyDescent="0.35">
      <c r="A107" s="36" t="s">
        <v>144</v>
      </c>
      <c r="B107" s="37" t="s">
        <v>41</v>
      </c>
      <c r="C107" s="38">
        <v>52.029899999999998</v>
      </c>
      <c r="D107" s="39" t="s">
        <v>42</v>
      </c>
      <c r="E107" s="22"/>
      <c r="F107" s="22"/>
      <c r="G107" s="18" t="s">
        <v>24</v>
      </c>
      <c r="H107" s="56"/>
      <c r="I107" s="56"/>
    </row>
    <row r="108" spans="1:9" s="3" customFormat="1" ht="148" x14ac:dyDescent="0.35">
      <c r="A108" s="36" t="s">
        <v>144</v>
      </c>
      <c r="B108" s="37" t="s">
        <v>43</v>
      </c>
      <c r="C108" s="38">
        <v>52.020299999999999</v>
      </c>
      <c r="D108" s="41" t="s">
        <v>44</v>
      </c>
      <c r="E108" s="22"/>
      <c r="F108" s="22"/>
      <c r="G108" s="18" t="s">
        <v>45</v>
      </c>
      <c r="H108" s="56"/>
      <c r="I108" s="56"/>
    </row>
    <row r="109" spans="1:9" s="3" customFormat="1" ht="129.5" x14ac:dyDescent="0.35">
      <c r="A109" s="36" t="s">
        <v>163</v>
      </c>
      <c r="B109" s="37" t="s">
        <v>34</v>
      </c>
      <c r="C109" s="38">
        <v>51.380099999999999</v>
      </c>
      <c r="D109" s="41" t="s">
        <v>35</v>
      </c>
      <c r="E109" s="22"/>
      <c r="F109" s="22"/>
      <c r="G109" s="18" t="s">
        <v>36</v>
      </c>
      <c r="H109" s="56"/>
      <c r="I109" s="57"/>
    </row>
    <row r="110" spans="1:9" s="3" customFormat="1" ht="101.5" x14ac:dyDescent="0.35">
      <c r="A110" s="36" t="s">
        <v>164</v>
      </c>
      <c r="B110" s="37" t="s">
        <v>95</v>
      </c>
      <c r="C110" s="38">
        <v>13.121</v>
      </c>
      <c r="D110" s="44" t="s">
        <v>65</v>
      </c>
      <c r="E110" s="22"/>
      <c r="F110" s="22"/>
      <c r="G110" s="18" t="s">
        <v>66</v>
      </c>
      <c r="H110" s="56"/>
      <c r="I110" s="57"/>
    </row>
    <row r="111" spans="1:9" s="3" customFormat="1" ht="74" x14ac:dyDescent="0.35">
      <c r="A111" s="36" t="s">
        <v>164</v>
      </c>
      <c r="B111" s="37" t="s">
        <v>52</v>
      </c>
      <c r="C111" s="38">
        <v>13.120200000000001</v>
      </c>
      <c r="D111" s="44" t="s">
        <v>53</v>
      </c>
      <c r="E111" s="22"/>
      <c r="F111" s="22"/>
      <c r="G111" s="18" t="s">
        <v>54</v>
      </c>
      <c r="H111" s="56"/>
      <c r="I111" s="56"/>
    </row>
    <row r="112" spans="1:9" s="3" customFormat="1" ht="92.5" x14ac:dyDescent="0.35">
      <c r="A112" s="36" t="s">
        <v>164</v>
      </c>
      <c r="B112" s="40" t="s">
        <v>165</v>
      </c>
      <c r="C112" s="38">
        <v>52.029899999999998</v>
      </c>
      <c r="D112" s="39" t="s">
        <v>42</v>
      </c>
      <c r="E112" s="23"/>
      <c r="F112" s="23"/>
      <c r="G112" s="18" t="s">
        <v>24</v>
      </c>
      <c r="H112" s="56"/>
      <c r="I112" s="56"/>
    </row>
    <row r="113" spans="1:9" s="3" customFormat="1" ht="129.5" x14ac:dyDescent="0.35">
      <c r="A113" s="36" t="s">
        <v>164</v>
      </c>
      <c r="B113" s="37" t="s">
        <v>34</v>
      </c>
      <c r="C113" s="38">
        <v>51.380099999999999</v>
      </c>
      <c r="D113" s="41" t="s">
        <v>35</v>
      </c>
      <c r="E113" s="22"/>
      <c r="F113" s="22"/>
      <c r="G113" s="18" t="s">
        <v>36</v>
      </c>
      <c r="H113" s="56"/>
      <c r="I113" s="57"/>
    </row>
    <row r="114" spans="1:9" s="3" customFormat="1" ht="166.5" x14ac:dyDescent="0.35">
      <c r="A114" s="36" t="s">
        <v>164</v>
      </c>
      <c r="B114" s="37" t="s">
        <v>166</v>
      </c>
      <c r="C114" s="38">
        <v>52.020200000000003</v>
      </c>
      <c r="D114" s="41" t="s">
        <v>167</v>
      </c>
      <c r="E114" s="22"/>
      <c r="F114" s="22"/>
      <c r="G114" s="18" t="s">
        <v>168</v>
      </c>
      <c r="H114" s="56"/>
      <c r="I114" s="56"/>
    </row>
    <row r="115" spans="1:9" s="3" customFormat="1" ht="185" x14ac:dyDescent="0.35">
      <c r="A115" s="36" t="s">
        <v>169</v>
      </c>
      <c r="B115" s="37" t="s">
        <v>100</v>
      </c>
      <c r="C115" s="38">
        <v>51.090800000000002</v>
      </c>
      <c r="D115" s="44" t="s">
        <v>101</v>
      </c>
      <c r="E115" s="22"/>
      <c r="F115" s="22"/>
      <c r="G115" s="18" t="s">
        <v>102</v>
      </c>
      <c r="H115" s="56"/>
      <c r="I115" s="56"/>
    </row>
    <row r="116" spans="1:9" s="3" customFormat="1" ht="148" x14ac:dyDescent="0.35">
      <c r="A116" s="36" t="s">
        <v>169</v>
      </c>
      <c r="B116" s="42" t="s">
        <v>122</v>
      </c>
      <c r="C116" s="38">
        <v>44</v>
      </c>
      <c r="D116" s="44" t="s">
        <v>123</v>
      </c>
      <c r="E116" s="24"/>
      <c r="F116" s="24"/>
      <c r="G116" s="18" t="s">
        <v>124</v>
      </c>
      <c r="H116" s="58"/>
      <c r="I116" s="56"/>
    </row>
    <row r="117" spans="1:9" s="3" customFormat="1" ht="92.5" x14ac:dyDescent="0.35">
      <c r="A117" s="36" t="s">
        <v>169</v>
      </c>
      <c r="B117" s="46" t="s">
        <v>170</v>
      </c>
      <c r="C117" s="38">
        <v>11.1099</v>
      </c>
      <c r="D117" s="45" t="s">
        <v>47</v>
      </c>
      <c r="E117" s="25"/>
      <c r="F117" s="25"/>
      <c r="G117" s="18" t="s">
        <v>24</v>
      </c>
      <c r="H117" s="56"/>
      <c r="I117" s="56"/>
    </row>
    <row r="118" spans="1:9" s="3" customFormat="1" ht="129.5" x14ac:dyDescent="0.35">
      <c r="A118" s="36" t="s">
        <v>169</v>
      </c>
      <c r="B118" s="42" t="s">
        <v>34</v>
      </c>
      <c r="C118" s="38">
        <v>51.380099999999999</v>
      </c>
      <c r="D118" s="41" t="s">
        <v>35</v>
      </c>
      <c r="E118" s="22"/>
      <c r="F118" s="22"/>
      <c r="G118" s="18" t="s">
        <v>36</v>
      </c>
      <c r="H118" s="56"/>
      <c r="I118" s="56"/>
    </row>
    <row r="119" spans="1:9" s="3" customFormat="1" ht="92.5" x14ac:dyDescent="0.35">
      <c r="A119" s="36" t="s">
        <v>169</v>
      </c>
      <c r="B119" s="37" t="s">
        <v>41</v>
      </c>
      <c r="C119" s="38">
        <v>52.029899999999998</v>
      </c>
      <c r="D119" s="39" t="s">
        <v>42</v>
      </c>
      <c r="E119" s="22"/>
      <c r="F119" s="22"/>
      <c r="G119" s="18" t="s">
        <v>24</v>
      </c>
      <c r="H119" s="56"/>
      <c r="I119" s="56"/>
    </row>
    <row r="120" spans="1:9" s="3" customFormat="1" ht="129.5" x14ac:dyDescent="0.35">
      <c r="A120" s="36" t="s">
        <v>171</v>
      </c>
      <c r="B120" s="40" t="s">
        <v>172</v>
      </c>
      <c r="C120" s="38">
        <v>51.380099999999999</v>
      </c>
      <c r="D120" s="41" t="s">
        <v>35</v>
      </c>
      <c r="E120" s="22"/>
      <c r="F120" s="22"/>
      <c r="G120" s="18" t="s">
        <v>36</v>
      </c>
      <c r="H120" s="56"/>
      <c r="I120" s="56"/>
    </row>
    <row r="121" spans="1:9" s="4" customFormat="1" ht="92.5" x14ac:dyDescent="0.35">
      <c r="A121" s="36" t="s">
        <v>171</v>
      </c>
      <c r="B121" s="37" t="s">
        <v>41</v>
      </c>
      <c r="C121" s="38">
        <v>52.029899999999998</v>
      </c>
      <c r="D121" s="39" t="s">
        <v>42</v>
      </c>
      <c r="E121" s="22"/>
      <c r="F121" s="22"/>
      <c r="G121" s="18" t="s">
        <v>24</v>
      </c>
      <c r="H121" s="56"/>
      <c r="I121" s="58"/>
    </row>
    <row r="122" spans="1:9" s="4" customFormat="1" ht="92.5" x14ac:dyDescent="0.35">
      <c r="A122" s="36" t="s">
        <v>173</v>
      </c>
      <c r="B122" s="42" t="s">
        <v>174</v>
      </c>
      <c r="C122" s="38">
        <v>52.029899999999998</v>
      </c>
      <c r="D122" s="39" t="s">
        <v>42</v>
      </c>
      <c r="E122" s="24"/>
      <c r="F122" s="24"/>
      <c r="G122" s="18" t="s">
        <v>24</v>
      </c>
      <c r="H122" s="56"/>
      <c r="I122" s="58"/>
    </row>
    <row r="123" spans="1:9" s="4" customFormat="1" ht="185" x14ac:dyDescent="0.35">
      <c r="A123" s="36" t="s">
        <v>173</v>
      </c>
      <c r="B123" s="42" t="s">
        <v>146</v>
      </c>
      <c r="C123" s="38">
        <v>11.100300000000001</v>
      </c>
      <c r="D123" s="41" t="s">
        <v>147</v>
      </c>
      <c r="E123" s="24"/>
      <c r="F123" s="24"/>
      <c r="G123" s="18" t="s">
        <v>148</v>
      </c>
      <c r="H123" s="58"/>
      <c r="I123" s="56"/>
    </row>
    <row r="124" spans="1:9" s="4" customFormat="1" ht="129.5" x14ac:dyDescent="0.35">
      <c r="A124" s="36" t="s">
        <v>173</v>
      </c>
      <c r="B124" s="42" t="s">
        <v>34</v>
      </c>
      <c r="C124" s="38">
        <v>51.380099999999999</v>
      </c>
      <c r="D124" s="41" t="s">
        <v>35</v>
      </c>
      <c r="E124" s="22"/>
      <c r="F124" s="22"/>
      <c r="G124" s="18" t="s">
        <v>36</v>
      </c>
      <c r="H124" s="56"/>
      <c r="I124" s="56"/>
    </row>
    <row r="125" spans="1:9" s="4" customFormat="1" ht="74" x14ac:dyDescent="0.35">
      <c r="A125" s="47" t="s">
        <v>175</v>
      </c>
      <c r="B125" s="42" t="s">
        <v>19</v>
      </c>
      <c r="C125" s="38">
        <v>49.010100000000001</v>
      </c>
      <c r="D125" s="41" t="s">
        <v>20</v>
      </c>
      <c r="E125" s="24"/>
      <c r="F125" s="24"/>
      <c r="G125" s="18" t="s">
        <v>21</v>
      </c>
      <c r="H125" s="56"/>
      <c r="I125" s="56"/>
    </row>
    <row r="126" spans="1:9" s="4" customFormat="1" ht="111" x14ac:dyDescent="0.35">
      <c r="A126" s="47" t="s">
        <v>175</v>
      </c>
      <c r="B126" s="42" t="s">
        <v>133</v>
      </c>
      <c r="C126" s="38">
        <v>43.010399999999997</v>
      </c>
      <c r="D126" s="44" t="s">
        <v>134</v>
      </c>
      <c r="E126" s="24"/>
      <c r="F126" s="24"/>
      <c r="G126" s="18" t="s">
        <v>135</v>
      </c>
      <c r="H126" s="56"/>
      <c r="I126" s="56"/>
    </row>
    <row r="127" spans="1:9" s="4" customFormat="1" ht="101.5" x14ac:dyDescent="0.35">
      <c r="A127" s="47" t="s">
        <v>175</v>
      </c>
      <c r="B127" s="42" t="s">
        <v>176</v>
      </c>
      <c r="C127" s="38">
        <v>13.121</v>
      </c>
      <c r="D127" s="44" t="s">
        <v>65</v>
      </c>
      <c r="E127" s="24"/>
      <c r="F127" s="24"/>
      <c r="G127" s="18" t="s">
        <v>66</v>
      </c>
      <c r="H127" s="56"/>
      <c r="I127" s="58"/>
    </row>
    <row r="128" spans="1:9" s="3" customFormat="1" ht="74" x14ac:dyDescent="0.35">
      <c r="A128" s="47" t="s">
        <v>175</v>
      </c>
      <c r="B128" s="42" t="s">
        <v>52</v>
      </c>
      <c r="C128" s="38">
        <v>13.120100000000001</v>
      </c>
      <c r="D128" s="44" t="s">
        <v>177</v>
      </c>
      <c r="E128" s="24"/>
      <c r="F128" s="24"/>
      <c r="G128" s="18" t="s">
        <v>178</v>
      </c>
      <c r="H128" s="56"/>
      <c r="I128" s="56"/>
    </row>
    <row r="129" spans="1:9" s="3" customFormat="1" ht="129.5" x14ac:dyDescent="0.35">
      <c r="A129" s="47" t="s">
        <v>175</v>
      </c>
      <c r="B129" s="42" t="s">
        <v>34</v>
      </c>
      <c r="C129" s="38">
        <v>51.380099999999999</v>
      </c>
      <c r="D129" s="41" t="s">
        <v>35</v>
      </c>
      <c r="E129" s="22"/>
      <c r="F129" s="22"/>
      <c r="G129" s="18" t="s">
        <v>36</v>
      </c>
      <c r="H129" s="56"/>
      <c r="I129" s="58"/>
    </row>
    <row r="130" spans="1:9" s="3" customFormat="1" ht="92.5" x14ac:dyDescent="0.35">
      <c r="A130" s="47" t="s">
        <v>175</v>
      </c>
      <c r="B130" s="37" t="s">
        <v>41</v>
      </c>
      <c r="C130" s="38">
        <v>52.029899999999998</v>
      </c>
      <c r="D130" s="39" t="s">
        <v>42</v>
      </c>
      <c r="E130" s="22"/>
      <c r="F130" s="22"/>
      <c r="G130" s="18" t="s">
        <v>24</v>
      </c>
      <c r="H130" s="57"/>
      <c r="I130" s="57"/>
    </row>
    <row r="131" spans="1:9" s="3" customFormat="1" ht="166.5" x14ac:dyDescent="0.35">
      <c r="A131" s="36" t="s">
        <v>179</v>
      </c>
      <c r="B131" s="37" t="s">
        <v>72</v>
      </c>
      <c r="C131" s="38">
        <v>52.030099999999997</v>
      </c>
      <c r="D131" s="44" t="s">
        <v>73</v>
      </c>
      <c r="E131" s="22"/>
      <c r="F131" s="22"/>
      <c r="G131" s="18" t="s">
        <v>74</v>
      </c>
      <c r="H131" s="56"/>
      <c r="I131" s="57"/>
    </row>
    <row r="132" spans="1:9" s="3" customFormat="1" ht="203.5" x14ac:dyDescent="0.35">
      <c r="A132" s="36" t="s">
        <v>179</v>
      </c>
      <c r="B132" s="37" t="s">
        <v>180</v>
      </c>
      <c r="C132" s="38">
        <v>51.100499999999997</v>
      </c>
      <c r="D132" s="44" t="s">
        <v>181</v>
      </c>
      <c r="E132" s="22"/>
      <c r="F132" s="22"/>
      <c r="G132" s="18" t="s">
        <v>182</v>
      </c>
      <c r="H132" s="56"/>
      <c r="I132" s="56"/>
    </row>
    <row r="133" spans="1:9" s="3" customFormat="1" ht="101.5" x14ac:dyDescent="0.35">
      <c r="A133" s="36" t="s">
        <v>179</v>
      </c>
      <c r="B133" s="37" t="s">
        <v>95</v>
      </c>
      <c r="C133" s="38">
        <v>13.121</v>
      </c>
      <c r="D133" s="49" t="s">
        <v>65</v>
      </c>
      <c r="E133" s="22"/>
      <c r="F133" s="22"/>
      <c r="G133" s="18" t="s">
        <v>66</v>
      </c>
      <c r="H133" s="56"/>
      <c r="I133" s="56"/>
    </row>
    <row r="134" spans="1:9" s="3" customFormat="1" ht="148" x14ac:dyDescent="0.35">
      <c r="A134" s="36" t="s">
        <v>179</v>
      </c>
      <c r="B134" s="37" t="s">
        <v>183</v>
      </c>
      <c r="C134" s="38">
        <v>51.070099999999996</v>
      </c>
      <c r="D134" s="44" t="s">
        <v>138</v>
      </c>
      <c r="E134" s="22"/>
      <c r="F134" s="22"/>
      <c r="G134" s="18" t="s">
        <v>88</v>
      </c>
      <c r="H134" s="56"/>
      <c r="I134" s="56"/>
    </row>
    <row r="135" spans="1:9" s="3" customFormat="1" ht="203.5" x14ac:dyDescent="0.35">
      <c r="A135" s="36" t="s">
        <v>179</v>
      </c>
      <c r="B135" s="40" t="s">
        <v>184</v>
      </c>
      <c r="C135" s="38">
        <v>26.120100000000001</v>
      </c>
      <c r="D135" s="44" t="s">
        <v>185</v>
      </c>
      <c r="E135" s="23"/>
      <c r="F135" s="23"/>
      <c r="G135" s="18" t="s">
        <v>186</v>
      </c>
      <c r="H135" s="56"/>
      <c r="I135" s="56"/>
    </row>
    <row r="136" spans="1:9" s="3" customFormat="1" ht="130.5" x14ac:dyDescent="0.35">
      <c r="A136" s="36" t="s">
        <v>179</v>
      </c>
      <c r="B136" s="40" t="s">
        <v>161</v>
      </c>
      <c r="C136" s="38">
        <v>11.010300000000001</v>
      </c>
      <c r="D136" s="41" t="s">
        <v>29</v>
      </c>
      <c r="E136" s="23"/>
      <c r="F136" s="23"/>
      <c r="G136" s="18" t="s">
        <v>30</v>
      </c>
      <c r="H136" s="56"/>
      <c r="I136" s="56"/>
    </row>
    <row r="137" spans="1:9" s="3" customFormat="1" ht="148" x14ac:dyDescent="0.35">
      <c r="A137" s="36" t="s">
        <v>179</v>
      </c>
      <c r="B137" s="40" t="s">
        <v>187</v>
      </c>
      <c r="C137" s="38">
        <v>50.060200000000002</v>
      </c>
      <c r="D137" s="44" t="s">
        <v>157</v>
      </c>
      <c r="E137" s="23"/>
      <c r="F137" s="23"/>
      <c r="G137" s="18" t="s">
        <v>158</v>
      </c>
      <c r="H137" s="56"/>
      <c r="I137" s="56"/>
    </row>
    <row r="138" spans="1:9" s="3" customFormat="1" ht="129.5" x14ac:dyDescent="0.35">
      <c r="A138" s="36" t="s">
        <v>179</v>
      </c>
      <c r="B138" s="37" t="s">
        <v>34</v>
      </c>
      <c r="C138" s="38">
        <v>51.380099999999999</v>
      </c>
      <c r="D138" s="41" t="s">
        <v>35</v>
      </c>
      <c r="E138" s="22"/>
      <c r="F138" s="22"/>
      <c r="G138" s="18" t="s">
        <v>36</v>
      </c>
      <c r="H138" s="56"/>
      <c r="I138" s="56"/>
    </row>
    <row r="139" spans="1:9" s="3" customFormat="1" ht="92.5" x14ac:dyDescent="0.35">
      <c r="A139" s="36" t="s">
        <v>179</v>
      </c>
      <c r="B139" s="37" t="s">
        <v>92</v>
      </c>
      <c r="C139" s="38">
        <v>52.029899999999998</v>
      </c>
      <c r="D139" s="39" t="s">
        <v>42</v>
      </c>
      <c r="E139" s="22"/>
      <c r="F139" s="22"/>
      <c r="G139" s="18" t="s">
        <v>24</v>
      </c>
      <c r="H139" s="56"/>
      <c r="I139" s="56"/>
    </row>
    <row r="140" spans="1:9" s="3" customFormat="1" ht="148" x14ac:dyDescent="0.35">
      <c r="A140" s="36" t="s">
        <v>188</v>
      </c>
      <c r="B140" s="37" t="s">
        <v>189</v>
      </c>
      <c r="C140" s="38">
        <v>15.0101</v>
      </c>
      <c r="D140" s="44" t="s">
        <v>190</v>
      </c>
      <c r="E140" s="22"/>
      <c r="F140" s="22"/>
      <c r="G140" s="18" t="s">
        <v>191</v>
      </c>
      <c r="H140" s="56"/>
      <c r="I140" s="56"/>
    </row>
    <row r="141" spans="1:9" s="3" customFormat="1" ht="203.5" x14ac:dyDescent="0.35">
      <c r="A141" s="36" t="s">
        <v>188</v>
      </c>
      <c r="B141" s="42" t="s">
        <v>192</v>
      </c>
      <c r="C141" s="38">
        <v>52.120100000000001</v>
      </c>
      <c r="D141" s="50" t="s">
        <v>193</v>
      </c>
      <c r="E141" s="24"/>
      <c r="F141" s="24"/>
      <c r="G141" s="18" t="s">
        <v>194</v>
      </c>
      <c r="H141" s="56"/>
      <c r="I141" s="56"/>
    </row>
    <row r="142" spans="1:9" s="3" customFormat="1" ht="166.5" x14ac:dyDescent="0.35">
      <c r="A142" s="36" t="s">
        <v>188</v>
      </c>
      <c r="B142" s="37" t="s">
        <v>195</v>
      </c>
      <c r="C142" s="38">
        <v>15.100099999999999</v>
      </c>
      <c r="D142" s="44" t="s">
        <v>196</v>
      </c>
      <c r="E142" s="22"/>
      <c r="F142" s="22"/>
      <c r="G142" s="18" t="s">
        <v>197</v>
      </c>
      <c r="H142" s="56"/>
      <c r="I142" s="56"/>
    </row>
    <row r="143" spans="1:9" s="3" customFormat="1" ht="111" x14ac:dyDescent="0.35">
      <c r="A143" s="36" t="s">
        <v>188</v>
      </c>
      <c r="B143" s="37" t="s">
        <v>198</v>
      </c>
      <c r="C143" s="38">
        <v>51</v>
      </c>
      <c r="D143" s="44" t="s">
        <v>160</v>
      </c>
      <c r="E143" s="22"/>
      <c r="F143" s="22"/>
      <c r="G143" s="18" t="s">
        <v>24</v>
      </c>
      <c r="H143" s="56"/>
      <c r="I143" s="56"/>
    </row>
    <row r="144" spans="1:9" s="3" customFormat="1" ht="130.5" x14ac:dyDescent="0.35">
      <c r="A144" s="36" t="s">
        <v>188</v>
      </c>
      <c r="B144" s="37" t="s">
        <v>161</v>
      </c>
      <c r="C144" s="38">
        <v>11.010300000000001</v>
      </c>
      <c r="D144" s="41" t="s">
        <v>29</v>
      </c>
      <c r="E144" s="22"/>
      <c r="F144" s="22"/>
      <c r="G144" s="18" t="s">
        <v>30</v>
      </c>
      <c r="H144" s="58"/>
      <c r="I144" s="56"/>
    </row>
    <row r="145" spans="1:9" s="3" customFormat="1" ht="185" x14ac:dyDescent="0.35">
      <c r="A145" s="36" t="s">
        <v>188</v>
      </c>
      <c r="B145" s="37" t="s">
        <v>199</v>
      </c>
      <c r="C145" s="38">
        <v>50.040799999999997</v>
      </c>
      <c r="D145" s="44" t="s">
        <v>200</v>
      </c>
      <c r="E145" s="22"/>
      <c r="F145" s="22"/>
      <c r="G145" s="18" t="s">
        <v>201</v>
      </c>
      <c r="H145" s="56"/>
      <c r="I145" s="56"/>
    </row>
    <row r="146" spans="1:9" s="3" customFormat="1" ht="129.5" x14ac:dyDescent="0.35">
      <c r="A146" s="36" t="s">
        <v>188</v>
      </c>
      <c r="B146" s="37" t="s">
        <v>34</v>
      </c>
      <c r="C146" s="38">
        <v>51.380099999999999</v>
      </c>
      <c r="D146" s="41" t="s">
        <v>35</v>
      </c>
      <c r="E146" s="22"/>
      <c r="F146" s="22"/>
      <c r="G146" s="18" t="s">
        <v>36</v>
      </c>
      <c r="H146" s="56"/>
      <c r="I146" s="56"/>
    </row>
    <row r="147" spans="1:9" s="3" customFormat="1" ht="74" x14ac:dyDescent="0.35">
      <c r="A147" s="36" t="s">
        <v>202</v>
      </c>
      <c r="B147" s="37" t="s">
        <v>52</v>
      </c>
      <c r="C147" s="38">
        <v>13.120200000000001</v>
      </c>
      <c r="D147" s="44" t="s">
        <v>53</v>
      </c>
      <c r="E147" s="22"/>
      <c r="F147" s="22"/>
      <c r="G147" s="18" t="s">
        <v>54</v>
      </c>
      <c r="H147" s="58"/>
      <c r="I147" s="56"/>
    </row>
    <row r="148" spans="1:9" s="3" customFormat="1" ht="129.5" x14ac:dyDescent="0.35">
      <c r="A148" s="36" t="s">
        <v>202</v>
      </c>
      <c r="B148" s="37" t="s">
        <v>34</v>
      </c>
      <c r="C148" s="38">
        <v>51.380099999999999</v>
      </c>
      <c r="D148" s="41" t="s">
        <v>35</v>
      </c>
      <c r="E148" s="22"/>
      <c r="F148" s="22"/>
      <c r="G148" s="18" t="s">
        <v>36</v>
      </c>
      <c r="H148" s="56"/>
      <c r="I148" s="56"/>
    </row>
    <row r="149" spans="1:9" s="3" customFormat="1" ht="92.5" x14ac:dyDescent="0.35">
      <c r="A149" s="36" t="s">
        <v>202</v>
      </c>
      <c r="B149" s="37" t="s">
        <v>41</v>
      </c>
      <c r="C149" s="38">
        <v>52.029899999999998</v>
      </c>
      <c r="D149" s="39" t="s">
        <v>42</v>
      </c>
      <c r="E149" s="22"/>
      <c r="F149" s="22"/>
      <c r="G149" s="18" t="s">
        <v>24</v>
      </c>
      <c r="H149" s="56"/>
      <c r="I149" s="58"/>
    </row>
    <row r="150" spans="1:9" s="3" customFormat="1" ht="101.5" x14ac:dyDescent="0.35">
      <c r="A150" s="36" t="s">
        <v>203</v>
      </c>
      <c r="B150" s="37" t="s">
        <v>204</v>
      </c>
      <c r="C150" s="38">
        <v>13.121</v>
      </c>
      <c r="D150" s="44" t="s">
        <v>65</v>
      </c>
      <c r="E150" s="22"/>
      <c r="F150" s="22"/>
      <c r="G150" s="18" t="s">
        <v>66</v>
      </c>
      <c r="H150" s="56"/>
      <c r="I150" s="56"/>
    </row>
    <row r="151" spans="1:9" s="3" customFormat="1" ht="129.5" x14ac:dyDescent="0.35">
      <c r="A151" s="36" t="s">
        <v>203</v>
      </c>
      <c r="B151" s="37" t="s">
        <v>34</v>
      </c>
      <c r="C151" s="38">
        <v>51.380099999999999</v>
      </c>
      <c r="D151" s="41" t="s">
        <v>35</v>
      </c>
      <c r="E151" s="22"/>
      <c r="F151" s="22"/>
      <c r="G151" s="18" t="s">
        <v>36</v>
      </c>
      <c r="H151" s="56"/>
      <c r="I151" s="56"/>
    </row>
    <row r="152" spans="1:9" s="3" customFormat="1" ht="92.5" x14ac:dyDescent="0.35">
      <c r="A152" s="36" t="s">
        <v>203</v>
      </c>
      <c r="B152" s="37" t="s">
        <v>205</v>
      </c>
      <c r="C152" s="38">
        <v>52.029899999999998</v>
      </c>
      <c r="D152" s="39" t="s">
        <v>42</v>
      </c>
      <c r="E152" s="22"/>
      <c r="F152" s="22"/>
      <c r="G152" s="18" t="s">
        <v>24</v>
      </c>
      <c r="H152" s="56"/>
      <c r="I152" s="56"/>
    </row>
    <row r="153" spans="1:9" s="3" customFormat="1" ht="145" x14ac:dyDescent="0.35">
      <c r="A153" s="36" t="s">
        <v>206</v>
      </c>
      <c r="B153" s="37" t="s">
        <v>207</v>
      </c>
      <c r="C153" s="38">
        <v>26.010100000000001</v>
      </c>
      <c r="D153" s="44" t="s">
        <v>131</v>
      </c>
      <c r="E153" s="22"/>
      <c r="F153" s="22"/>
      <c r="G153" s="18" t="s">
        <v>132</v>
      </c>
      <c r="H153" s="56"/>
      <c r="I153" s="56"/>
    </row>
    <row r="154" spans="1:9" s="3" customFormat="1" ht="333.5" x14ac:dyDescent="0.35">
      <c r="A154" s="36" t="s">
        <v>206</v>
      </c>
      <c r="B154" s="37" t="s">
        <v>208</v>
      </c>
      <c r="C154" s="38">
        <v>52.020099999999999</v>
      </c>
      <c r="D154" s="41" t="s">
        <v>50</v>
      </c>
      <c r="E154" s="22"/>
      <c r="F154" s="22"/>
      <c r="G154" s="18" t="s">
        <v>51</v>
      </c>
      <c r="H154" s="57"/>
      <c r="I154" s="56"/>
    </row>
    <row r="155" spans="1:9" s="3" customFormat="1" ht="185" x14ac:dyDescent="0.35">
      <c r="A155" s="36" t="s">
        <v>206</v>
      </c>
      <c r="B155" s="37" t="s">
        <v>146</v>
      </c>
      <c r="C155" s="38">
        <v>11.100300000000001</v>
      </c>
      <c r="D155" s="41" t="s">
        <v>147</v>
      </c>
      <c r="E155" s="22"/>
      <c r="F155" s="22"/>
      <c r="G155" s="18" t="s">
        <v>148</v>
      </c>
      <c r="H155" s="57"/>
      <c r="I155" s="58"/>
    </row>
    <row r="156" spans="1:9" s="3" customFormat="1" ht="166.5" x14ac:dyDescent="0.35">
      <c r="A156" s="36" t="s">
        <v>206</v>
      </c>
      <c r="B156" s="37" t="s">
        <v>209</v>
      </c>
      <c r="C156" s="38">
        <v>51.060200000000002</v>
      </c>
      <c r="D156" s="41" t="s">
        <v>210</v>
      </c>
      <c r="E156" s="22"/>
      <c r="F156" s="22"/>
      <c r="G156" s="18" t="s">
        <v>211</v>
      </c>
      <c r="H156" s="58"/>
      <c r="I156" s="56"/>
    </row>
    <row r="157" spans="1:9" s="3" customFormat="1" ht="55.5" x14ac:dyDescent="0.35">
      <c r="A157" s="36" t="s">
        <v>206</v>
      </c>
      <c r="B157" s="37" t="s">
        <v>212</v>
      </c>
      <c r="C157" s="38">
        <v>13.9999</v>
      </c>
      <c r="D157" s="45" t="s">
        <v>213</v>
      </c>
      <c r="E157" s="22"/>
      <c r="F157" s="22"/>
      <c r="G157" s="18" t="s">
        <v>214</v>
      </c>
      <c r="H157" s="56"/>
      <c r="I157" s="58"/>
    </row>
    <row r="158" spans="1:9" s="3" customFormat="1" ht="74" x14ac:dyDescent="0.35">
      <c r="A158" s="36" t="s">
        <v>206</v>
      </c>
      <c r="B158" s="37" t="s">
        <v>52</v>
      </c>
      <c r="C158" s="38">
        <v>13.120200000000001</v>
      </c>
      <c r="D158" s="44" t="s">
        <v>53</v>
      </c>
      <c r="E158" s="22"/>
      <c r="F158" s="22"/>
      <c r="G158" s="18" t="s">
        <v>54</v>
      </c>
      <c r="H158" s="56"/>
      <c r="I158" s="58"/>
    </row>
    <row r="159" spans="1:9" s="3" customFormat="1" ht="148" x14ac:dyDescent="0.35">
      <c r="A159" s="36" t="s">
        <v>206</v>
      </c>
      <c r="B159" s="37" t="s">
        <v>25</v>
      </c>
      <c r="C159" s="38">
        <v>13.100099999999999</v>
      </c>
      <c r="D159" s="44" t="s">
        <v>26</v>
      </c>
      <c r="E159" s="22"/>
      <c r="F159" s="22"/>
      <c r="G159" s="18" t="s">
        <v>27</v>
      </c>
      <c r="H159" s="58"/>
      <c r="I159" s="56"/>
    </row>
    <row r="160" spans="1:9" s="3" customFormat="1" ht="185" x14ac:dyDescent="0.35">
      <c r="A160" s="36" t="s">
        <v>206</v>
      </c>
      <c r="B160" s="37" t="s">
        <v>183</v>
      </c>
      <c r="C160" s="38">
        <v>51.2211</v>
      </c>
      <c r="D160" s="41" t="s">
        <v>87</v>
      </c>
      <c r="E160" s="22"/>
      <c r="F160" s="22"/>
      <c r="G160" s="18" t="s">
        <v>88</v>
      </c>
      <c r="H160" s="56"/>
      <c r="I160" s="58"/>
    </row>
    <row r="161" spans="1:9" s="3" customFormat="1" ht="92.5" x14ac:dyDescent="0.35">
      <c r="A161" s="36" t="s">
        <v>206</v>
      </c>
      <c r="B161" s="37" t="s">
        <v>215</v>
      </c>
      <c r="C161" s="38">
        <v>52.029899999999998</v>
      </c>
      <c r="D161" s="39" t="s">
        <v>42</v>
      </c>
      <c r="E161" s="22"/>
      <c r="F161" s="22"/>
      <c r="G161" s="18" t="s">
        <v>24</v>
      </c>
      <c r="H161" s="56"/>
      <c r="I161" s="57"/>
    </row>
    <row r="162" spans="1:9" s="3" customFormat="1" ht="87" x14ac:dyDescent="0.35">
      <c r="A162" s="36" t="s">
        <v>206</v>
      </c>
      <c r="B162" s="37" t="s">
        <v>31</v>
      </c>
      <c r="C162" s="38">
        <v>13.1311</v>
      </c>
      <c r="D162" s="44" t="s">
        <v>32</v>
      </c>
      <c r="E162" s="22"/>
      <c r="F162" s="22"/>
      <c r="G162" s="18" t="s">
        <v>33</v>
      </c>
      <c r="H162" s="56"/>
      <c r="I162" s="56"/>
    </row>
    <row r="163" spans="1:9" s="3" customFormat="1" ht="188.5" x14ac:dyDescent="0.35">
      <c r="A163" s="36" t="s">
        <v>206</v>
      </c>
      <c r="B163" s="37" t="s">
        <v>58</v>
      </c>
      <c r="C163" s="38">
        <v>13.131600000000001</v>
      </c>
      <c r="D163" s="41" t="s">
        <v>59</v>
      </c>
      <c r="E163" s="22"/>
      <c r="F163" s="22"/>
      <c r="G163" s="18" t="s">
        <v>60</v>
      </c>
      <c r="H163" s="56"/>
      <c r="I163" s="58"/>
    </row>
    <row r="164" spans="1:9" s="3" customFormat="1" ht="129.5" x14ac:dyDescent="0.35">
      <c r="A164" s="36" t="s">
        <v>206</v>
      </c>
      <c r="B164" s="37" t="s">
        <v>34</v>
      </c>
      <c r="C164" s="38">
        <v>51.380099999999999</v>
      </c>
      <c r="D164" s="41" t="s">
        <v>35</v>
      </c>
      <c r="E164" s="22"/>
      <c r="F164" s="22"/>
      <c r="G164" s="18" t="s">
        <v>36</v>
      </c>
      <c r="H164" s="56"/>
      <c r="I164" s="56"/>
    </row>
    <row r="165" spans="1:9" s="3" customFormat="1" ht="92.5" x14ac:dyDescent="0.35">
      <c r="A165" s="36" t="s">
        <v>206</v>
      </c>
      <c r="B165" s="37" t="s">
        <v>216</v>
      </c>
      <c r="C165" s="38">
        <v>22.030200000000001</v>
      </c>
      <c r="D165" s="44" t="s">
        <v>217</v>
      </c>
      <c r="E165" s="22"/>
      <c r="F165" s="22"/>
      <c r="G165" s="18" t="s">
        <v>218</v>
      </c>
      <c r="H165" s="58"/>
      <c r="I165" s="56"/>
    </row>
    <row r="166" spans="1:9" s="3" customFormat="1" ht="148" x14ac:dyDescent="0.35">
      <c r="A166" s="36" t="s">
        <v>206</v>
      </c>
      <c r="B166" s="37" t="s">
        <v>219</v>
      </c>
      <c r="C166" s="38">
        <v>44.040100000000002</v>
      </c>
      <c r="D166" s="44" t="s">
        <v>141</v>
      </c>
      <c r="E166" s="22"/>
      <c r="F166" s="22"/>
      <c r="G166" s="18" t="s">
        <v>142</v>
      </c>
      <c r="H166" s="56"/>
      <c r="I166" s="56"/>
    </row>
    <row r="167" spans="1:9" s="3" customFormat="1" ht="74" x14ac:dyDescent="0.35">
      <c r="A167" s="36" t="s">
        <v>206</v>
      </c>
      <c r="B167" s="37" t="s">
        <v>220</v>
      </c>
      <c r="C167" s="38">
        <v>43.999899999999997</v>
      </c>
      <c r="D167" s="45" t="s">
        <v>104</v>
      </c>
      <c r="E167" s="22"/>
      <c r="F167" s="22"/>
      <c r="G167" s="18" t="s">
        <v>24</v>
      </c>
      <c r="H167" s="56"/>
      <c r="I167" s="56"/>
    </row>
    <row r="168" spans="1:9" s="3" customFormat="1" ht="87" x14ac:dyDescent="0.35">
      <c r="A168" s="36" t="s">
        <v>206</v>
      </c>
      <c r="B168" s="37" t="s">
        <v>40</v>
      </c>
      <c r="C168" s="38">
        <v>13.1311</v>
      </c>
      <c r="D168" s="44" t="s">
        <v>32</v>
      </c>
      <c r="E168" s="22"/>
      <c r="F168" s="22"/>
      <c r="G168" s="18" t="s">
        <v>33</v>
      </c>
      <c r="H168" s="56"/>
      <c r="I168" s="56"/>
    </row>
    <row r="169" spans="1:9" s="3" customFormat="1" ht="74" x14ac:dyDescent="0.35">
      <c r="A169" s="36" t="s">
        <v>206</v>
      </c>
      <c r="B169" s="37" t="s">
        <v>221</v>
      </c>
      <c r="C169" s="38">
        <v>3.0299</v>
      </c>
      <c r="D169" s="39" t="s">
        <v>222</v>
      </c>
      <c r="E169" s="22"/>
      <c r="F169" s="22"/>
      <c r="G169" s="18" t="s">
        <v>223</v>
      </c>
      <c r="H169" s="56"/>
      <c r="I169" s="56"/>
    </row>
    <row r="170" spans="1:9" s="3" customFormat="1" ht="92.5" x14ac:dyDescent="0.35">
      <c r="A170" s="36" t="s">
        <v>206</v>
      </c>
      <c r="B170" s="37" t="s">
        <v>46</v>
      </c>
      <c r="C170" s="38">
        <v>11.1099</v>
      </c>
      <c r="D170" s="45" t="s">
        <v>47</v>
      </c>
      <c r="E170" s="22"/>
      <c r="F170" s="22"/>
      <c r="G170" s="18" t="s">
        <v>24</v>
      </c>
      <c r="H170" s="56"/>
      <c r="I170" s="57"/>
    </row>
    <row r="171" spans="1:9" s="3" customFormat="1" ht="166.5" x14ac:dyDescent="0.35">
      <c r="A171" s="36" t="s">
        <v>206</v>
      </c>
      <c r="B171" s="37" t="s">
        <v>224</v>
      </c>
      <c r="C171" s="38" t="s">
        <v>225</v>
      </c>
      <c r="D171" s="44" t="s">
        <v>226</v>
      </c>
      <c r="E171" s="22"/>
      <c r="F171" s="22"/>
      <c r="G171" s="18" t="s">
        <v>227</v>
      </c>
      <c r="H171" s="56"/>
      <c r="I171" s="56"/>
    </row>
    <row r="172" spans="1:9" s="3" customFormat="1" ht="101.5" x14ac:dyDescent="0.35">
      <c r="A172" s="36" t="s">
        <v>228</v>
      </c>
      <c r="B172" s="42" t="s">
        <v>229</v>
      </c>
      <c r="C172" s="38">
        <v>13.121</v>
      </c>
      <c r="D172" s="44" t="s">
        <v>65</v>
      </c>
      <c r="E172" s="24"/>
      <c r="F172" s="24"/>
      <c r="G172" s="18" t="s">
        <v>66</v>
      </c>
      <c r="H172" s="56"/>
      <c r="I172" s="56"/>
    </row>
    <row r="173" spans="1:9" s="3" customFormat="1" ht="148" x14ac:dyDescent="0.35">
      <c r="A173" s="36" t="s">
        <v>228</v>
      </c>
      <c r="B173" s="42" t="s">
        <v>183</v>
      </c>
      <c r="C173" s="38">
        <v>51.070099999999996</v>
      </c>
      <c r="D173" s="44" t="s">
        <v>138</v>
      </c>
      <c r="E173" s="24"/>
      <c r="F173" s="24"/>
      <c r="G173" s="18" t="s">
        <v>88</v>
      </c>
      <c r="H173" s="56"/>
      <c r="I173" s="56"/>
    </row>
    <row r="174" spans="1:9" s="3" customFormat="1" ht="129.5" x14ac:dyDescent="0.35">
      <c r="A174" s="36" t="s">
        <v>228</v>
      </c>
      <c r="B174" s="37" t="s">
        <v>34</v>
      </c>
      <c r="C174" s="38">
        <v>51.380099999999999</v>
      </c>
      <c r="D174" s="41" t="s">
        <v>35</v>
      </c>
      <c r="E174" s="22"/>
      <c r="F174" s="22"/>
      <c r="G174" s="18" t="s">
        <v>36</v>
      </c>
      <c r="H174" s="58"/>
      <c r="I174" s="56"/>
    </row>
    <row r="175" spans="1:9" s="3" customFormat="1" ht="74" x14ac:dyDescent="0.35">
      <c r="A175" s="36" t="s">
        <v>228</v>
      </c>
      <c r="B175" s="42" t="s">
        <v>230</v>
      </c>
      <c r="C175" s="38">
        <v>43.999899999999997</v>
      </c>
      <c r="D175" s="45" t="s">
        <v>104</v>
      </c>
      <c r="E175" s="24"/>
      <c r="F175" s="24"/>
      <c r="G175" s="18" t="s">
        <v>24</v>
      </c>
      <c r="H175" s="56"/>
      <c r="I175" s="56"/>
    </row>
    <row r="176" spans="1:9" s="3" customFormat="1" ht="333.5" x14ac:dyDescent="0.35">
      <c r="A176" s="36" t="s">
        <v>228</v>
      </c>
      <c r="B176" s="37" t="s">
        <v>41</v>
      </c>
      <c r="C176" s="38">
        <v>52.020099999999999</v>
      </c>
      <c r="D176" s="41" t="s">
        <v>50</v>
      </c>
      <c r="E176" s="22"/>
      <c r="F176" s="22"/>
      <c r="G176" s="18" t="s">
        <v>51</v>
      </c>
      <c r="H176" s="56"/>
      <c r="I176" s="56"/>
    </row>
    <row r="177" spans="1:9" s="3" customFormat="1" ht="129.5" x14ac:dyDescent="0.35">
      <c r="A177" s="36" t="s">
        <v>231</v>
      </c>
      <c r="B177" s="40" t="s">
        <v>34</v>
      </c>
      <c r="C177" s="38">
        <v>51.380099999999999</v>
      </c>
      <c r="D177" s="41" t="s">
        <v>35</v>
      </c>
      <c r="E177" s="22"/>
      <c r="F177" s="22"/>
      <c r="G177" s="18" t="s">
        <v>36</v>
      </c>
      <c r="H177" s="56"/>
      <c r="I177" s="56"/>
    </row>
    <row r="178" spans="1:9" s="3" customFormat="1" ht="333.5" x14ac:dyDescent="0.35">
      <c r="A178" s="36" t="s">
        <v>232</v>
      </c>
      <c r="B178" s="37" t="s">
        <v>233</v>
      </c>
      <c r="C178" s="38">
        <v>52.020099999999999</v>
      </c>
      <c r="D178" s="41" t="s">
        <v>50</v>
      </c>
      <c r="E178" s="22"/>
      <c r="F178" s="22"/>
      <c r="G178" s="18" t="s">
        <v>51</v>
      </c>
      <c r="H178" s="58"/>
      <c r="I178" s="56"/>
    </row>
    <row r="179" spans="1:9" s="3" customFormat="1" ht="185" x14ac:dyDescent="0.35">
      <c r="A179" s="36" t="s">
        <v>232</v>
      </c>
      <c r="B179" s="40" t="s">
        <v>234</v>
      </c>
      <c r="C179" s="38">
        <v>51.090800000000002</v>
      </c>
      <c r="D179" s="44" t="s">
        <v>101</v>
      </c>
      <c r="E179" s="23"/>
      <c r="F179" s="23"/>
      <c r="G179" s="18" t="s">
        <v>102</v>
      </c>
      <c r="H179" s="56"/>
      <c r="I179" s="56"/>
    </row>
    <row r="180" spans="1:9" s="3" customFormat="1" ht="130.5" x14ac:dyDescent="0.35">
      <c r="A180" s="36" t="s">
        <v>232</v>
      </c>
      <c r="B180" s="37" t="s">
        <v>235</v>
      </c>
      <c r="C180" s="38">
        <v>11.010300000000001</v>
      </c>
      <c r="D180" s="41" t="s">
        <v>29</v>
      </c>
      <c r="E180" s="22"/>
      <c r="F180" s="22"/>
      <c r="G180" s="18" t="s">
        <v>30</v>
      </c>
      <c r="H180" s="58"/>
      <c r="I180" s="56"/>
    </row>
    <row r="181" spans="1:9" s="3" customFormat="1" ht="145" x14ac:dyDescent="0.35">
      <c r="A181" s="36" t="s">
        <v>232</v>
      </c>
      <c r="B181" s="42" t="s">
        <v>236</v>
      </c>
      <c r="C181" s="38">
        <v>15.0303</v>
      </c>
      <c r="D181" s="44" t="s">
        <v>154</v>
      </c>
      <c r="E181" s="24"/>
      <c r="F181" s="24"/>
      <c r="G181" s="18" t="s">
        <v>155</v>
      </c>
      <c r="H181" s="58"/>
      <c r="I181" s="56"/>
    </row>
    <row r="182" spans="1:9" s="3" customFormat="1" ht="129.5" x14ac:dyDescent="0.35">
      <c r="A182" s="36" t="s">
        <v>232</v>
      </c>
      <c r="B182" s="37" t="s">
        <v>34</v>
      </c>
      <c r="C182" s="38">
        <v>51.380099999999999</v>
      </c>
      <c r="D182" s="41" t="s">
        <v>35</v>
      </c>
      <c r="E182" s="22"/>
      <c r="F182" s="22"/>
      <c r="G182" s="18" t="s">
        <v>36</v>
      </c>
      <c r="H182" s="56"/>
      <c r="I182" s="56"/>
    </row>
    <row r="183" spans="1:9" s="3" customFormat="1" ht="148" x14ac:dyDescent="0.35">
      <c r="A183" s="36" t="s">
        <v>232</v>
      </c>
      <c r="B183" s="37" t="s">
        <v>237</v>
      </c>
      <c r="C183" s="38">
        <v>51.090699999999998</v>
      </c>
      <c r="D183" s="44" t="s">
        <v>238</v>
      </c>
      <c r="E183" s="22"/>
      <c r="F183" s="22"/>
      <c r="G183" s="18" t="s">
        <v>239</v>
      </c>
      <c r="H183" s="58"/>
      <c r="I183" s="58"/>
    </row>
    <row r="184" spans="1:9" x14ac:dyDescent="0.45">
      <c r="G184" s="8"/>
    </row>
    <row r="185" spans="1:9" x14ac:dyDescent="0.45">
      <c r="G185" s="8"/>
    </row>
  </sheetData>
  <sheetProtection sort="0" autoFilter="0"/>
  <protectedRanges>
    <protectedRange sqref="A1:I183" name="AllowSortFilter"/>
  </protectedRanges>
  <autoFilter ref="A2:I2" xr:uid="{00000000-0009-0000-0000-000001000000}"/>
  <sortState xmlns:xlrd2="http://schemas.microsoft.com/office/spreadsheetml/2017/richdata2" ref="A3:I183">
    <sortCondition ref="A3:A183"/>
    <sortCondition ref="B3:B183"/>
  </sortState>
  <dataValidations count="1">
    <dataValidation type="list" allowBlank="1" showInputMessage="1" showErrorMessage="1" sqref="E3:E183" xr:uid="{00000000-0002-0000-0100-000000000000}">
      <formula1>"Yes, No"</formula1>
    </dataValidation>
  </dataValidations>
  <hyperlinks>
    <hyperlink ref="C49" r:id="rId1" display="03.0205" xr:uid="{00000000-0004-0000-0100-000000000000}"/>
    <hyperlink ref="C4" r:id="rId2" display="03.0199" xr:uid="{00000000-0004-0000-0100-000001000000}"/>
    <hyperlink ref="C169" r:id="rId3" display="https://nces.ed.gov/ipeds/cipcode/cipdetail.aspx?y=56&amp;cipid=90325" xr:uid="{00000000-0004-0000-0100-000002000000}"/>
    <hyperlink ref="C58" r:id="rId4" display="https://nces.ed.gov/ipeds/cipcode/cipdetail.aspx?y=56&amp;cipid=90075" xr:uid="{00000000-0004-0000-0100-000003000000}"/>
    <hyperlink ref="C59" r:id="rId5" display="https://nces.ed.gov/ipeds/cipcode/cipdetail.aspx?y=56&amp;cipid=89564" xr:uid="{00000000-0004-0000-0100-000004000000}"/>
    <hyperlink ref="C68" r:id="rId6" display="https://nces.ed.gov/ipeds/cipcode/cipdetail.aspx?y=56&amp;cipid=89564" xr:uid="{00000000-0004-0000-0100-000005000000}"/>
    <hyperlink ref="C76" r:id="rId7" display="https://nces.ed.gov/ipeds/cipcode/cipdetail.aspx?y=56&amp;cipid=89564" xr:uid="{00000000-0004-0000-0100-000006000000}"/>
    <hyperlink ref="C93" r:id="rId8" display="https://nces.ed.gov/ipeds/cipcode/cipdetail.aspx?y=56&amp;cipid=90376" xr:uid="{00000000-0004-0000-0100-000007000000}"/>
    <hyperlink ref="C12:C16" r:id="rId9" display="https://nces.ed.gov/ipeds/cipcode/cipdetail.aspx?y=56&amp;cipid=89570" xr:uid="{00000000-0004-0000-0100-000008000000}"/>
    <hyperlink ref="C180" r:id="rId10" display="https://nces.ed.gov/ipeds/cipcode/cipdetail.aspx?y=56&amp;cipid=89570" xr:uid="{00000000-0004-0000-0100-000009000000}"/>
    <hyperlink ref="C42" r:id="rId11" display="https://nces.ed.gov/ipeds/cipcode/cipdetail.aspx?y=56&amp;cipid=90382" xr:uid="{00000000-0004-0000-0100-00000A000000}"/>
    <hyperlink ref="C57" r:id="rId12" display="https://nces.ed.gov/ipeds/cipcode/cipdetail.aspx?y=56&amp;cipid=89585" xr:uid="{00000000-0004-0000-0100-00000B000000}"/>
    <hyperlink ref="C24:C27" r:id="rId13" display="https://nces.ed.gov/ipeds/cipcode/cipdetail.aspx?y=56&amp;cipid=89591" xr:uid="{00000000-0004-0000-0100-00000C000000}"/>
    <hyperlink ref="C20:C22" r:id="rId14" display="https://nces.ed.gov/ipeds/cipcode/cipdetail.aspx?y=56&amp;cipid=89589" xr:uid="{00000000-0004-0000-0100-00000D000000}"/>
    <hyperlink ref="C13" r:id="rId15" display="https://nces.ed.gov/ipeds/cipcode/cipdetail.aspx?y=56&amp;cipid=89591" xr:uid="{00000000-0004-0000-0100-00000E000000}"/>
    <hyperlink ref="C28:C31" r:id="rId16" display="https://nces.ed.gov/ipeds/cipcode/cipdetail.aspx?y=56&amp;cipid=90449" xr:uid="{00000000-0004-0000-0100-00000F000000}"/>
    <hyperlink ref="C32:C33" r:id="rId17" display="https://nces.ed.gov/ipeds/cipcode/cipdetail.aspx?y=56&amp;cipid=90449" xr:uid="{00000000-0004-0000-0100-000010000000}"/>
    <hyperlink ref="C128" r:id="rId18" display="https://nces.ed.gov/ipeds/cipcode/cipdetail.aspx?y=56&amp;cipid=90434" xr:uid="{00000000-0004-0000-0100-000011000000}"/>
    <hyperlink ref="C35:C42" r:id="rId19" display="https://nces.ed.gov/ipeds/cipcode/cipdetail.aspx?y=56&amp;cipid=90435" xr:uid="{00000000-0004-0000-0100-000012000000}"/>
    <hyperlink ref="C43:C51" r:id="rId20" display="https://nces.ed.gov/ipeds/cipcode/cipdetail.aspx?y=56&amp;cipid=89622" xr:uid="{00000000-0004-0000-0100-000013000000}"/>
    <hyperlink ref="C21" r:id="rId21" display="https://nces.ed.gov/ipeds/cipcode/cipdetail.aspx?y=56&amp;cipid=90468" xr:uid="{00000000-0004-0000-0100-000014000000}"/>
    <hyperlink ref="C18" r:id="rId22" display="https://nces.ed.gov/ipeds/cipcode/cipdetail.aspx?y=56&amp;cipid=90468" xr:uid="{00000000-0004-0000-0100-000015000000}"/>
    <hyperlink ref="C38" r:id="rId23" display="https://nces.ed.gov/ipeds/cipcode/cipdetail.aspx?y=56&amp;cipid=90468" xr:uid="{00000000-0004-0000-0100-000016000000}"/>
    <hyperlink ref="C88" r:id="rId24" display="https://nces.ed.gov/ipeds/cipcode/cipdetail.aspx?y=56&amp;cipid=90468" xr:uid="{00000000-0004-0000-0100-000017000000}"/>
    <hyperlink ref="C82" r:id="rId25" display="https://nces.ed.gov/ipeds/cipcode/cipdetail.aspx?y=56&amp;cipid=90468" xr:uid="{00000000-0004-0000-0100-000018000000}"/>
    <hyperlink ref="C105" r:id="rId26" display="https://nces.ed.gov/ipeds/cipcode/cipdetail.aspx?y=56&amp;cipid=90468" xr:uid="{00000000-0004-0000-0100-000019000000}"/>
    <hyperlink ref="C162" r:id="rId27" display="https://nces.ed.gov/ipeds/cipcode/cipdetail.aspx?y=56&amp;cipid=90468" xr:uid="{00000000-0004-0000-0100-00001A000000}"/>
    <hyperlink ref="C168" r:id="rId28" display="https://nces.ed.gov/ipeds/cipcode/cipdetail.aspx?y=56&amp;cipid=90468" xr:uid="{00000000-0004-0000-0100-00001B000000}"/>
    <hyperlink ref="C63:C68" r:id="rId29" display="https://nces.ed.gov/ipeds/cipcode/cipdetail.aspx?y=56&amp;cipid=90472" xr:uid="{00000000-0004-0000-0100-00001C000000}"/>
    <hyperlink ref="C9" r:id="rId30" display="https://nces.ed.gov/ipeds/cipcode/cipdetail.aspx?y=56&amp;cipid=90478" xr:uid="{00000000-0004-0000-0100-00001D000000}"/>
    <hyperlink ref="C22" r:id="rId31" display="https://nces.ed.gov/ipeds/cipcode/cipdetail.aspx?y=56&amp;cipid=90478" xr:uid="{00000000-0004-0000-0100-00001E000000}"/>
    <hyperlink ref="C35" r:id="rId32" display="https://nces.ed.gov/ipeds/cipcode/cipdetail.aspx?y=56&amp;cipid=90478" xr:uid="{00000000-0004-0000-0100-00001F000000}"/>
    <hyperlink ref="C87" r:id="rId33" display="https://nces.ed.gov/ipeds/cipcode/cipdetail.aspx?y=56&amp;cipid=90478" xr:uid="{00000000-0004-0000-0100-000020000000}"/>
    <hyperlink ref="C102" r:id="rId34" display="https://nces.ed.gov/ipeds/cipcode/cipdetail.aspx?y=56&amp;cipid=90478" xr:uid="{00000000-0004-0000-0100-000021000000}"/>
    <hyperlink ref="C36" r:id="rId35" display="https://nces.ed.gov/ipeds/cipcode/cipdetail.aspx?y=56&amp;cipid=90479" xr:uid="{00000000-0004-0000-0100-000022000000}"/>
    <hyperlink ref="C103" r:id="rId36" display="https://nces.ed.gov/ipeds/cipcode/cipdetail.aspx?y=56&amp;cipid=90479" xr:uid="{00000000-0004-0000-0100-000023000000}"/>
    <hyperlink ref="C39" r:id="rId37" display="https://nces.ed.gov/ipeds/cipcode/cipdetail.aspx?y=56&amp;cipid=90485" xr:uid="{00000000-0004-0000-0100-000024000000}"/>
    <hyperlink ref="C106" r:id="rId38" display="https://nces.ed.gov/ipeds/cipcode/cipdetail.aspx?y=56&amp;cipid=90485" xr:uid="{00000000-0004-0000-0100-000025000000}"/>
    <hyperlink ref="C157" r:id="rId39" display="https://nces.ed.gov/ipeds/cipcode/cipdetail.aspx?y=56&amp;cipid=90494" xr:uid="{00000000-0004-0000-0100-000026000000}"/>
    <hyperlink ref="C140" r:id="rId40" display="https://nces.ed.gov/ipeds/cipcode/cipdetail.aspx?y=56&amp;cipid=90440" xr:uid="{00000000-0004-0000-0100-000027000000}"/>
    <hyperlink ref="C80:C81" r:id="rId41" display="https://nces.ed.gov/ipeds/cipcode/cipdetail.aspx?y=56&amp;cipid=90444" xr:uid="{00000000-0004-0000-0100-000028000000}"/>
    <hyperlink ref="D95" r:id="rId42" display="https://nces.ed.gov/ipeds/cipcode/CIPDetail.aspx?y=56&amp;cipid=90890" xr:uid="{00000000-0004-0000-0100-000029000000}"/>
    <hyperlink ref="C142" r:id="rId43" display="https://nces.ed.gov/ipeds/cipcode/cipdetail.aspx?y=56&amp;cipid=90584" xr:uid="{00000000-0004-0000-0100-00002A000000}"/>
    <hyperlink ref="C31" r:id="rId44" display="https://nces.ed.gov/ipeds/cipcode/cipdetail.aspx?y=56&amp;cipid=90589" xr:uid="{00000000-0004-0000-0100-00002B000000}"/>
    <hyperlink ref="C165" r:id="rId45" display="https://nces.ed.gov/ipeds/cipcode/cipdetail.aspx?y=56&amp;cipid=90104" xr:uid="{00000000-0004-0000-0100-00002C000000}"/>
    <hyperlink ref="C85:C87" r:id="rId46" display="https://nces.ed.gov/ipeds/cipcode/cipdetail.aspx?y=56&amp;cipid=90678" xr:uid="{00000000-0004-0000-0100-00002D000000}"/>
    <hyperlink ref="C55" r:id="rId47" display="https://nces.ed.gov/ipeds/cipcode/cipdetail.aspx?y=56&amp;cipid=89755" xr:uid="{00000000-0004-0000-0100-00002E000000}"/>
    <hyperlink ref="C10" r:id="rId48" display="https://nces.ed.gov/ipeds/cipcode/cipdetail.aspx?y=56&amp;cipid=90468" xr:uid="{00000000-0004-0000-0100-00002F000000}"/>
    <hyperlink ref="C7" r:id="rId49" display="https://nces.ed.gov/ipeds/cipcode/cipdetail.aspx?y=56&amp;cipid=90468" xr:uid="{00000000-0004-0000-0100-000030000000}"/>
    <hyperlink ref="C135" r:id="rId50" display="https://nces.ed.gov/ipeds/cipcode/cipdetail.aspx?y=56&amp;cipid=90117" xr:uid="{00000000-0004-0000-0100-000031000000}"/>
    <hyperlink ref="C26" r:id="rId51" display="https://nces.ed.gov/ipeds/cipcode/cipdetail.aspx?y=56&amp;cipid=91447" xr:uid="{00000000-0004-0000-0100-000032000000}"/>
    <hyperlink ref="D26" r:id="rId52" display="https://nces.ed.gov/ipeds/cipcode/CIPDetail.aspx?y=56&amp;cipid=90119" xr:uid="{00000000-0004-0000-0100-000033000000}"/>
    <hyperlink ref="C91:C92" r:id="rId53" display="https://nces.ed.gov/ipeds/cipcode/cipdetail.aspx?y=56&amp;cipid=90828" xr:uid="{00000000-0004-0000-0100-000034000000}"/>
    <hyperlink ref="C93:C97" r:id="rId54" display="https://nces.ed.gov/ipeds/cipcode/cipdetail.aspx?y=56&amp;cipid=90839" xr:uid="{00000000-0004-0000-0100-000035000000}"/>
    <hyperlink ref="C98:C100" r:id="rId55" display="https://nces.ed.gov/ipeds/cipcode/cipdetail.aspx?y=56&amp;cipid=89874" xr:uid="{00000000-0004-0000-0100-000036000000}"/>
    <hyperlink ref="C101:C102" r:id="rId56" display="https://nces.ed.gov/ipeds/cipcode/cipdetail.aspx?y=56&amp;cipid=90844" xr:uid="{00000000-0004-0000-0100-000037000000}"/>
    <hyperlink ref="C103:C104" r:id="rId57" display="https://nces.ed.gov/ipeds/cipcode/cipdetail.aspx?y=56&amp;cipid=90956" xr:uid="{00000000-0004-0000-0100-000038000000}"/>
    <hyperlink ref="C145" r:id="rId58" display="https://nces.ed.gov/ipeds/cipcode/cipdetail.aspx?y=56&amp;cipid=90986" xr:uid="{00000000-0004-0000-0100-000039000000}"/>
    <hyperlink ref="C106:C107" r:id="rId59" display="https://nces.ed.gov/ipeds/cipcode/cipdetail.aspx?y=56&amp;cipid=90996" xr:uid="{00000000-0004-0000-0100-00003A000000}"/>
    <hyperlink ref="C108:C109" r:id="rId60" display="https://nces.ed.gov/ipeds/cipcode/cipdetail.aspx?y=56&amp;cipid=89920" xr:uid="{00000000-0004-0000-0100-00003B000000}"/>
    <hyperlink ref="C156" r:id="rId61" display="https://nces.ed.gov/ipeds/cipcode/cipdetail.aspx?y=56&amp;cipid=91041" xr:uid="{00000000-0004-0000-0100-00003C000000}"/>
    <hyperlink ref="C79" r:id="rId62" display="https://nces.ed.gov/ipeds/cipcode/cipdetail.aspx?y=56&amp;cipid=91045" xr:uid="{00000000-0004-0000-0100-00003D000000}"/>
    <hyperlink ref="C173" r:id="rId63" display="https://nces.ed.gov/ipeds/cipcode/cipdetail.aspx?y=56&amp;cipid=91045" xr:uid="{00000000-0004-0000-0100-00003E000000}"/>
    <hyperlink ref="C134" r:id="rId64" display="https://nces.ed.gov/ipeds/cipcode/cipdetail.aspx?y=56&amp;cipid=91045" xr:uid="{00000000-0004-0000-0100-00003F000000}"/>
    <hyperlink ref="C171" r:id="rId65" xr:uid="{00000000-0004-0000-0100-000040000000}"/>
    <hyperlink ref="C183" r:id="rId66" display="https://nces.ed.gov/ipeds/cipcode/cipdetail.aspx?y=56&amp;cipid=91069" xr:uid="{00000000-0004-0000-0100-000041000000}"/>
    <hyperlink ref="C116:C118" r:id="rId67" display="https://nces.ed.gov/ipeds/cipcode/cipdetail.aspx?y=56&amp;cipid=91070" xr:uid="{00000000-0004-0000-0100-000042000000}"/>
    <hyperlink ref="C132" r:id="rId68" display="https://nces.ed.gov/ipeds/cipcode/cipdetail.aspx?y=56&amp;cipid=91079" xr:uid="{00000000-0004-0000-0100-000043000000}"/>
    <hyperlink ref="C41" r:id="rId69" display="51.2211" xr:uid="{00000000-0004-0000-0100-000044000000}"/>
    <hyperlink ref="C43" r:id="rId70" display="https://nces.ed.gov/ipeds/cipcode/cipdetail.aspx?y=56&amp;cipid=91097" xr:uid="{00000000-0004-0000-0100-000045000000}"/>
    <hyperlink ref="C123:C125" r:id="rId71" display="https://nces.ed.gov/ipeds/cipcode/cipdetail.aspx?y=56&amp;cipid=91097" xr:uid="{00000000-0004-0000-0100-000046000000}"/>
    <hyperlink ref="C127:C130" r:id="rId72" display="https://nces.ed.gov/ipeds/cipcode/cipdetail.aspx?y=56&amp;cipid=91097" xr:uid="{00000000-0004-0000-0100-000047000000}"/>
    <hyperlink ref="C131:C133" r:id="rId73" display="https://nces.ed.gov/ipeds/cipcode/cipdetail.aspx?y=56&amp;cipid=91097" xr:uid="{00000000-0004-0000-0100-000048000000}"/>
    <hyperlink ref="C134:C136" r:id="rId74" display="https://nces.ed.gov/ipeds/cipcode/cipdetail.aspx?y=56&amp;cipid=91097" xr:uid="{00000000-0004-0000-0100-000049000000}"/>
    <hyperlink ref="C137:C139" r:id="rId75" display="https://nces.ed.gov/ipeds/cipcode/cipdetail.aspx?y=56&amp;cipid=91097" xr:uid="{00000000-0004-0000-0100-00004A000000}"/>
    <hyperlink ref="C140:C142" r:id="rId76" display="https://nces.ed.gov/ipeds/cipcode/cipdetail.aspx?y=56&amp;cipid=91097" xr:uid="{00000000-0004-0000-0100-00004B000000}"/>
    <hyperlink ref="C143:C145" r:id="rId77" display="https://nces.ed.gov/ipeds/cipcode/cipdetail.aspx?y=56&amp;cipid=91097" xr:uid="{00000000-0004-0000-0100-00004C000000}"/>
    <hyperlink ref="C146:C148" r:id="rId78" display="https://nces.ed.gov/ipeds/cipcode/cipdetail.aspx?y=56&amp;cipid=91097" xr:uid="{00000000-0004-0000-0100-00004D000000}"/>
    <hyperlink ref="C34" r:id="rId79" display="https://nces.ed.gov/ipeds/cipcode/cipdetail.aspx?y=56&amp;cipid=91097" xr:uid="{00000000-0004-0000-0100-00004E000000}"/>
    <hyperlink ref="C14" r:id="rId80" display="https://nces.ed.gov/ipeds/cipcode/cipdetail.aspx?y=56&amp;cipid=91159" xr:uid="{00000000-0004-0000-0100-00004F000000}"/>
    <hyperlink ref="C56" r:id="rId81" display="https://nces.ed.gov/ipeds/cipcode/cipdetail.aspx?y=56&amp;cipid=91159" xr:uid="{00000000-0004-0000-0100-000050000000}"/>
    <hyperlink ref="C74" r:id="rId82" display="https://nces.ed.gov/ipeds/cipcode/cipdetail.aspx?y=56&amp;cipid=91159" xr:uid="{00000000-0004-0000-0100-000051000000}"/>
    <hyperlink ref="C176" r:id="rId83" display="https://nces.ed.gov/ipeds/cipcode/cipdetail.aspx?y=56&amp;cipid=91159" xr:uid="{00000000-0004-0000-0100-000052000000}"/>
    <hyperlink ref="C154" r:id="rId84" display="https://nces.ed.gov/ipeds/cipcode/cipdetail.aspx?y=56&amp;cipid=91159" xr:uid="{00000000-0004-0000-0100-000053000000}"/>
    <hyperlink ref="C178" r:id="rId85" display="https://nces.ed.gov/ipeds/cipcode/cipdetail.aspx?y=56&amp;cipid=91159" xr:uid="{00000000-0004-0000-0100-000054000000}"/>
    <hyperlink ref="C114" r:id="rId86" display="https://nces.ed.gov/ipeds/cipcode/cipdetail.aspx?y=56&amp;cipid=91160" xr:uid="{00000000-0004-0000-0100-000055000000}"/>
    <hyperlink ref="C12" r:id="rId87" display="https://nces.ed.gov/ipeds/cipcode/cipdetail.aspx?y=56&amp;cipid=91161" xr:uid="{00000000-0004-0000-0100-000056000000}"/>
    <hyperlink ref="C64" r:id="rId88" display="https://nces.ed.gov/ipeds/cipcode/cipdetail.aspx?y=56&amp;cipid=91161" xr:uid="{00000000-0004-0000-0100-000057000000}"/>
    <hyperlink ref="C108" r:id="rId89" display="https://nces.ed.gov/ipeds/cipcode/cipdetail.aspx?y=56&amp;cipid=91161" xr:uid="{00000000-0004-0000-0100-000058000000}"/>
    <hyperlink ref="C44" r:id="rId90" display="https://nces.ed.gov/ipeds/cipcode/cipdetail.aspx?y=56&amp;cipid=91165" xr:uid="{00000000-0004-0000-0100-000059000000}"/>
    <hyperlink ref="C11" r:id="rId91" display="https://nces.ed.gov/ipeds/cipcode/cipdetail.aspx?y=56&amp;cipid=91165" xr:uid="{00000000-0004-0000-0100-00005A000000}"/>
    <hyperlink ref="C23" r:id="rId92" display="https://nces.ed.gov/ipeds/cipcode/cipdetail.aspx?y=56&amp;cipid=91165" xr:uid="{00000000-0004-0000-0100-00005B000000}"/>
    <hyperlink ref="C40" r:id="rId93" display="https://nces.ed.gov/ipeds/cipcode/cipdetail.aspx?y=56&amp;cipid=91165" xr:uid="{00000000-0004-0000-0100-00005C000000}"/>
    <hyperlink ref="C54" r:id="rId94" display="https://nces.ed.gov/ipeds/cipcode/cipdetail.aspx?y=56&amp;cipid=91165" xr:uid="{00000000-0004-0000-0100-00005D000000}"/>
    <hyperlink ref="C67" r:id="rId95" display="https://nces.ed.gov/ipeds/cipcode/cipdetail.aspx?y=56&amp;cipid=91165" xr:uid="{00000000-0004-0000-0100-00005E000000}"/>
    <hyperlink ref="C28" r:id="rId96" display="https://nces.ed.gov/ipeds/cipcode/cipdetail.aspx?y=56&amp;cipid=91165" xr:uid="{00000000-0004-0000-0100-00005F000000}"/>
    <hyperlink ref="C70" r:id="rId97" display="https://nces.ed.gov/ipeds/cipcode/cipdetail.aspx?y=56&amp;cipid=91165" xr:uid="{00000000-0004-0000-0100-000060000000}"/>
    <hyperlink ref="C85" r:id="rId98" display="https://nces.ed.gov/ipeds/cipcode/cipdetail.aspx?y=56&amp;cipid=91165" xr:uid="{00000000-0004-0000-0100-000061000000}"/>
    <hyperlink ref="C107" r:id="rId99" display="https://nces.ed.gov/ipeds/cipcode/cipdetail.aspx?y=56&amp;cipid=91165" xr:uid="{00000000-0004-0000-0100-000062000000}"/>
    <hyperlink ref="C112" r:id="rId100" display="https://nces.ed.gov/ipeds/cipcode/cipdetail.aspx?y=56&amp;cipid=91165" xr:uid="{00000000-0004-0000-0100-000063000000}"/>
    <hyperlink ref="C119" r:id="rId101" display="https://nces.ed.gov/ipeds/cipcode/cipdetail.aspx?y=56&amp;cipid=91165" xr:uid="{00000000-0004-0000-0100-000064000000}"/>
    <hyperlink ref="C121" r:id="rId102" display="https://nces.ed.gov/ipeds/cipcode/cipdetail.aspx?y=56&amp;cipid=91165" xr:uid="{00000000-0004-0000-0100-000065000000}"/>
    <hyperlink ref="C122" r:id="rId103" display="https://nces.ed.gov/ipeds/cipcode/cipdetail.aspx?y=56&amp;cipid=91165" xr:uid="{00000000-0004-0000-0100-000066000000}"/>
    <hyperlink ref="C130" r:id="rId104" display="https://nces.ed.gov/ipeds/cipcode/cipdetail.aspx?y=56&amp;cipid=91165" xr:uid="{00000000-0004-0000-0100-000067000000}"/>
    <hyperlink ref="C152" r:id="rId105" display="https://nces.ed.gov/ipeds/cipcode/cipdetail.aspx?y=56&amp;cipid=91165" xr:uid="{00000000-0004-0000-0100-000068000000}"/>
    <hyperlink ref="C161" r:id="rId106" display="https://nces.ed.gov/ipeds/cipcode/cipdetail.aspx?y=56&amp;cipid=91165" xr:uid="{00000000-0004-0000-0100-000069000000}"/>
    <hyperlink ref="C139" r:id="rId107" display="https://nces.ed.gov/ipeds/cipcode/cipdetail.aspx?y=56&amp;cipid=91165" xr:uid="{00000000-0004-0000-0100-00006A000000}"/>
    <hyperlink ref="C149" r:id="rId108" display="https://nces.ed.gov/ipeds/cipcode/cipdetail.aspx?y=56&amp;cipid=91165" xr:uid="{00000000-0004-0000-0100-00006B000000}"/>
    <hyperlink ref="C179:C181" r:id="rId109" display="https://nces.ed.gov/ipeds/cipcode/cipdetail.aspx?y=56&amp;cipid=91167" xr:uid="{00000000-0004-0000-0100-00006C000000}"/>
    <hyperlink ref="C61" r:id="rId110" display="https://nces.ed.gov/ipeds/cipcode/cipdetail.aspx?y=56&amp;cipid=91187" xr:uid="{00000000-0004-0000-0100-00006D000000}"/>
    <hyperlink ref="C141" r:id="rId111" display="https://nces.ed.gov/ipeds/cipcode/cipdetail.aspx?y=56&amp;cipid=91205" xr:uid="{00000000-0004-0000-0100-00006E000000}"/>
    <hyperlink ref="C6" r:id="rId112" display="https://nces.ed.gov/ipeds/cipcode/cipdetail.aspx?y=56&amp;cipid=89570" xr:uid="{00000000-0004-0000-0100-00006F000000}"/>
    <hyperlink ref="C160" r:id="rId113" display="51.2211" xr:uid="{00000000-0004-0000-0100-000070000000}"/>
    <hyperlink ref="D181" r:id="rId114" display="https://nces.ed.gov/ipeds/cipcode/CIPDetail.aspx?y=56&amp;cipid=90890" xr:uid="{00000000-0004-0000-0100-000071000000}"/>
    <hyperlink ref="C90" r:id="rId115" display="https://nces.ed.gov/ipeds/cipcode/cipdetail.aspx?y=56&amp;cipid=91165" xr:uid="{00000000-0004-0000-0100-000072000000}"/>
    <hyperlink ref="C16" r:id="rId116" display="13.1311" xr:uid="{00000000-0004-0000-0100-000073000000}"/>
  </hyperlinks>
  <printOptions horizontalCentered="1" headings="1"/>
  <pageMargins left="0.7" right="0.7" top="0.75" bottom="0.75" header="0.3" footer="0.3"/>
  <pageSetup scale="42" fitToHeight="0" orientation="portrait" r:id="rId117"/>
  <headerFooter>
    <oddHeader>&amp;C&amp;"Arial,Bold"&amp;16The Florida College System
Baccalaureate Programs as of January 2017</oddHeader>
    <oddFooter>&amp;C&amp;P&amp;R&amp;D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'Lists for Data Validation'!$A$2:$A$1997</xm:f>
          </x14:formula1>
          <xm:sqref>F3:F1048576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99"/>
  <sheetViews>
    <sheetView workbookViewId="0">
      <pane ySplit="3" topLeftCell="A4" activePane="bottomLeft" state="frozen"/>
      <selection pane="bottomLeft"/>
    </sheetView>
  </sheetViews>
  <sheetFormatPr defaultRowHeight="14.5" x14ac:dyDescent="0.35"/>
  <cols>
    <col min="1" max="1" width="14.54296875" customWidth="1"/>
    <col min="2" max="2" width="15.453125" customWidth="1"/>
    <col min="3" max="3" width="36.81640625" style="8" customWidth="1"/>
    <col min="4" max="4" width="20.453125" bestFit="1" customWidth="1"/>
    <col min="5" max="5" width="10.81640625" bestFit="1" customWidth="1"/>
    <col min="6" max="6" width="11.54296875" bestFit="1" customWidth="1"/>
    <col min="7" max="7" width="43.54296875" style="8" customWidth="1"/>
  </cols>
  <sheetData>
    <row r="1" spans="1:7" s="6" customFormat="1" x14ac:dyDescent="0.35">
      <c r="A1" s="5" t="s">
        <v>240</v>
      </c>
      <c r="C1" s="7"/>
      <c r="G1" s="7"/>
    </row>
    <row r="3" spans="1:7" x14ac:dyDescent="0.35">
      <c r="A3" s="12" t="s">
        <v>241</v>
      </c>
      <c r="B3" s="12" t="s">
        <v>242</v>
      </c>
      <c r="C3" s="13" t="s">
        <v>243</v>
      </c>
      <c r="D3" s="12" t="s">
        <v>244</v>
      </c>
      <c r="E3" s="12" t="s">
        <v>245</v>
      </c>
      <c r="F3" s="12" t="s">
        <v>246</v>
      </c>
      <c r="G3" s="13" t="s">
        <v>247</v>
      </c>
    </row>
    <row r="4" spans="1:7" x14ac:dyDescent="0.35">
      <c r="A4" t="str">
        <f>"01.0000"</f>
        <v>01.0000</v>
      </c>
      <c r="B4" t="s">
        <v>248</v>
      </c>
      <c r="C4" s="8" t="s">
        <v>249</v>
      </c>
      <c r="D4" t="s">
        <v>250</v>
      </c>
      <c r="E4" t="s">
        <v>251</v>
      </c>
      <c r="F4" t="str">
        <f>"01.0000"</f>
        <v>01.0000</v>
      </c>
      <c r="G4" s="8" t="s">
        <v>249</v>
      </c>
    </row>
    <row r="5" spans="1:7" ht="29" x14ac:dyDescent="0.35">
      <c r="A5" t="str">
        <f>"01.0101"</f>
        <v>01.0101</v>
      </c>
      <c r="B5" t="s">
        <v>252</v>
      </c>
      <c r="C5" s="8" t="s">
        <v>253</v>
      </c>
      <c r="D5" t="s">
        <v>250</v>
      </c>
      <c r="E5" t="s">
        <v>251</v>
      </c>
      <c r="F5" t="str">
        <f>"01.0101"</f>
        <v>01.0101</v>
      </c>
      <c r="G5" s="8" t="s">
        <v>253</v>
      </c>
    </row>
    <row r="6" spans="1:7" ht="29" x14ac:dyDescent="0.35">
      <c r="A6" t="str">
        <f>"01.0102"</f>
        <v>01.0102</v>
      </c>
      <c r="B6" t="s">
        <v>254</v>
      </c>
      <c r="C6" s="8" t="s">
        <v>255</v>
      </c>
      <c r="D6" t="s">
        <v>250</v>
      </c>
      <c r="E6" t="s">
        <v>251</v>
      </c>
      <c r="F6" t="str">
        <f>"01.0102"</f>
        <v>01.0102</v>
      </c>
      <c r="G6" s="8" t="s">
        <v>255</v>
      </c>
    </row>
    <row r="7" spans="1:7" x14ac:dyDescent="0.35">
      <c r="A7" t="str">
        <f>"01.0103"</f>
        <v>01.0103</v>
      </c>
      <c r="B7" t="s">
        <v>256</v>
      </c>
      <c r="C7" s="8" t="s">
        <v>257</v>
      </c>
      <c r="D7" t="s">
        <v>250</v>
      </c>
      <c r="E7" t="s">
        <v>251</v>
      </c>
      <c r="F7" t="str">
        <f>"01.0103"</f>
        <v>01.0103</v>
      </c>
      <c r="G7" s="8" t="s">
        <v>257</v>
      </c>
    </row>
    <row r="8" spans="1:7" x14ac:dyDescent="0.35">
      <c r="A8" t="str">
        <f>"01.0104"</f>
        <v>01.0104</v>
      </c>
      <c r="B8" t="s">
        <v>258</v>
      </c>
      <c r="C8" s="8" t="s">
        <v>259</v>
      </c>
      <c r="D8" t="s">
        <v>250</v>
      </c>
      <c r="E8" t="s">
        <v>251</v>
      </c>
      <c r="F8" t="str">
        <f>"01.0104"</f>
        <v>01.0104</v>
      </c>
      <c r="G8" s="8" t="s">
        <v>259</v>
      </c>
    </row>
    <row r="9" spans="1:7" ht="29" x14ac:dyDescent="0.35">
      <c r="A9" t="str">
        <f>"01.0105"</f>
        <v>01.0105</v>
      </c>
      <c r="B9" t="s">
        <v>260</v>
      </c>
      <c r="C9" s="8" t="s">
        <v>261</v>
      </c>
      <c r="D9" t="s">
        <v>250</v>
      </c>
      <c r="E9" t="s">
        <v>251</v>
      </c>
      <c r="F9" t="str">
        <f>"01.0105"</f>
        <v>01.0105</v>
      </c>
      <c r="G9" s="8" t="s">
        <v>261</v>
      </c>
    </row>
    <row r="10" spans="1:7" x14ac:dyDescent="0.35">
      <c r="A10" t="str">
        <f>"01.0106"</f>
        <v>01.0106</v>
      </c>
      <c r="B10" t="s">
        <v>262</v>
      </c>
      <c r="C10" s="8" t="s">
        <v>263</v>
      </c>
      <c r="D10" t="s">
        <v>250</v>
      </c>
      <c r="E10" t="s">
        <v>264</v>
      </c>
      <c r="F10" t="str">
        <f>"01.0106"</f>
        <v>01.0106</v>
      </c>
      <c r="G10" s="8" t="s">
        <v>265</v>
      </c>
    </row>
    <row r="11" spans="1:7" ht="29" x14ac:dyDescent="0.35">
      <c r="A11" t="str">
        <f>"01.0199"</f>
        <v>01.0199</v>
      </c>
      <c r="B11" t="s">
        <v>266</v>
      </c>
      <c r="C11" s="8" t="s">
        <v>267</v>
      </c>
      <c r="D11" t="s">
        <v>250</v>
      </c>
      <c r="E11" t="s">
        <v>251</v>
      </c>
      <c r="F11" t="str">
        <f>"01.0199"</f>
        <v>01.0199</v>
      </c>
      <c r="G11" s="8" t="s">
        <v>267</v>
      </c>
    </row>
    <row r="12" spans="1:7" x14ac:dyDescent="0.35">
      <c r="A12" t="str">
        <f>"01.0201"</f>
        <v>01.0201</v>
      </c>
      <c r="B12" t="s">
        <v>268</v>
      </c>
      <c r="C12" s="8" t="s">
        <v>269</v>
      </c>
      <c r="D12" t="s">
        <v>250</v>
      </c>
      <c r="E12" t="s">
        <v>251</v>
      </c>
      <c r="F12" t="str">
        <f>"01.0201"</f>
        <v>01.0201</v>
      </c>
      <c r="G12" s="8" t="s">
        <v>269</v>
      </c>
    </row>
    <row r="13" spans="1:7" x14ac:dyDescent="0.35">
      <c r="A13" t="str">
        <f>"01.0204"</f>
        <v>01.0204</v>
      </c>
      <c r="B13" t="s">
        <v>270</v>
      </c>
      <c r="C13" s="8" t="s">
        <v>271</v>
      </c>
      <c r="D13" t="s">
        <v>250</v>
      </c>
      <c r="E13" t="s">
        <v>251</v>
      </c>
      <c r="F13" t="str">
        <f>"01.0204"</f>
        <v>01.0204</v>
      </c>
      <c r="G13" s="8" t="s">
        <v>271</v>
      </c>
    </row>
    <row r="14" spans="1:7" ht="29" x14ac:dyDescent="0.35">
      <c r="A14" t="str">
        <f>"01.0205"</f>
        <v>01.0205</v>
      </c>
      <c r="B14" t="s">
        <v>272</v>
      </c>
      <c r="C14" s="8" t="s">
        <v>273</v>
      </c>
      <c r="D14" t="s">
        <v>250</v>
      </c>
      <c r="E14" t="s">
        <v>264</v>
      </c>
      <c r="F14" t="str">
        <f>"01.0205"</f>
        <v>01.0205</v>
      </c>
      <c r="G14" s="8" t="s">
        <v>274</v>
      </c>
    </row>
    <row r="15" spans="1:7" x14ac:dyDescent="0.35">
      <c r="D15" t="s">
        <v>275</v>
      </c>
      <c r="E15" t="s">
        <v>251</v>
      </c>
      <c r="F15" t="str">
        <f>"01.0207"</f>
        <v>01.0207</v>
      </c>
      <c r="G15" s="8" t="s">
        <v>276</v>
      </c>
    </row>
    <row r="16" spans="1:7" x14ac:dyDescent="0.35">
      <c r="A16" t="str">
        <f>"01.0299"</f>
        <v>01.0299</v>
      </c>
      <c r="B16" t="s">
        <v>277</v>
      </c>
      <c r="C16" s="8" t="s">
        <v>278</v>
      </c>
      <c r="D16" t="s">
        <v>250</v>
      </c>
      <c r="E16" t="s">
        <v>251</v>
      </c>
      <c r="F16" t="str">
        <f>"01.0299"</f>
        <v>01.0299</v>
      </c>
      <c r="G16" s="8" t="s">
        <v>278</v>
      </c>
    </row>
    <row r="17" spans="1:7" ht="29" x14ac:dyDescent="0.35">
      <c r="A17" t="str">
        <f>"01.0301"</f>
        <v>01.0301</v>
      </c>
      <c r="B17" t="s">
        <v>279</v>
      </c>
      <c r="C17" s="8" t="s">
        <v>280</v>
      </c>
      <c r="D17" t="s">
        <v>250</v>
      </c>
      <c r="E17" t="s">
        <v>251</v>
      </c>
      <c r="F17" t="str">
        <f>"01.0301"</f>
        <v>01.0301</v>
      </c>
      <c r="G17" s="8" t="s">
        <v>280</v>
      </c>
    </row>
    <row r="18" spans="1:7" ht="29" x14ac:dyDescent="0.35">
      <c r="A18" t="str">
        <f>"01.0302"</f>
        <v>01.0302</v>
      </c>
      <c r="B18" t="s">
        <v>281</v>
      </c>
      <c r="C18" s="8" t="s">
        <v>282</v>
      </c>
      <c r="D18" t="s">
        <v>250</v>
      </c>
      <c r="E18" t="s">
        <v>251</v>
      </c>
      <c r="F18" t="str">
        <f>"01.0302"</f>
        <v>01.0302</v>
      </c>
      <c r="G18" s="8" t="s">
        <v>282</v>
      </c>
    </row>
    <row r="19" spans="1:7" x14ac:dyDescent="0.35">
      <c r="A19" t="str">
        <f>"01.0303"</f>
        <v>01.0303</v>
      </c>
      <c r="B19" t="s">
        <v>283</v>
      </c>
      <c r="C19" s="8" t="s">
        <v>284</v>
      </c>
      <c r="D19" t="s">
        <v>250</v>
      </c>
      <c r="E19" t="s">
        <v>251</v>
      </c>
      <c r="F19" t="str">
        <f>"01.0303"</f>
        <v>01.0303</v>
      </c>
      <c r="G19" s="8" t="s">
        <v>284</v>
      </c>
    </row>
    <row r="20" spans="1:7" x14ac:dyDescent="0.35">
      <c r="A20" t="str">
        <f>"01.0304"</f>
        <v>01.0304</v>
      </c>
      <c r="B20" t="s">
        <v>285</v>
      </c>
      <c r="C20" s="8" t="s">
        <v>286</v>
      </c>
      <c r="D20" t="s">
        <v>250</v>
      </c>
      <c r="E20" t="s">
        <v>251</v>
      </c>
      <c r="F20" t="str">
        <f>"01.0304"</f>
        <v>01.0304</v>
      </c>
      <c r="G20" s="8" t="s">
        <v>286</v>
      </c>
    </row>
    <row r="21" spans="1:7" x14ac:dyDescent="0.35">
      <c r="A21" t="str">
        <f>"01.0306"</f>
        <v>01.0306</v>
      </c>
      <c r="B21" t="s">
        <v>287</v>
      </c>
      <c r="C21" s="8" t="s">
        <v>288</v>
      </c>
      <c r="D21" t="s">
        <v>250</v>
      </c>
      <c r="E21" t="s">
        <v>251</v>
      </c>
      <c r="F21" t="str">
        <f>"01.0306"</f>
        <v>01.0306</v>
      </c>
      <c r="G21" s="8" t="s">
        <v>288</v>
      </c>
    </row>
    <row r="22" spans="1:7" ht="29" x14ac:dyDescent="0.35">
      <c r="A22" t="str">
        <f>"01.0307"</f>
        <v>01.0307</v>
      </c>
      <c r="B22" t="s">
        <v>289</v>
      </c>
      <c r="C22" s="8" t="s">
        <v>290</v>
      </c>
      <c r="D22" t="s">
        <v>250</v>
      </c>
      <c r="E22" t="s">
        <v>251</v>
      </c>
      <c r="F22" t="str">
        <f>"01.0307"</f>
        <v>01.0307</v>
      </c>
      <c r="G22" s="8" t="s">
        <v>290</v>
      </c>
    </row>
    <row r="23" spans="1:7" x14ac:dyDescent="0.35">
      <c r="A23" t="str">
        <f>"01.0308"</f>
        <v>01.0308</v>
      </c>
      <c r="B23" t="s">
        <v>291</v>
      </c>
      <c r="C23" s="8" t="s">
        <v>292</v>
      </c>
      <c r="D23" t="s">
        <v>250</v>
      </c>
      <c r="E23" t="s">
        <v>251</v>
      </c>
      <c r="F23" t="str">
        <f>"01.0308"</f>
        <v>01.0308</v>
      </c>
      <c r="G23" s="8" t="s">
        <v>292</v>
      </c>
    </row>
    <row r="24" spans="1:7" x14ac:dyDescent="0.35">
      <c r="A24" t="str">
        <f>"01.0309"</f>
        <v>01.0309</v>
      </c>
      <c r="B24" t="s">
        <v>293</v>
      </c>
      <c r="C24" s="8" t="s">
        <v>294</v>
      </c>
      <c r="D24" t="s">
        <v>295</v>
      </c>
      <c r="E24" t="s">
        <v>251</v>
      </c>
      <c r="F24" t="str">
        <f>"01.1004"</f>
        <v>01.1004</v>
      </c>
      <c r="G24" s="8" t="s">
        <v>294</v>
      </c>
    </row>
    <row r="25" spans="1:7" x14ac:dyDescent="0.35">
      <c r="D25" t="s">
        <v>275</v>
      </c>
      <c r="E25" t="s">
        <v>251</v>
      </c>
      <c r="F25" t="str">
        <f>"01.0310"</f>
        <v>01.0310</v>
      </c>
      <c r="G25" s="8" t="s">
        <v>296</v>
      </c>
    </row>
    <row r="26" spans="1:7" x14ac:dyDescent="0.35">
      <c r="A26" t="str">
        <f>"01.0399"</f>
        <v>01.0399</v>
      </c>
      <c r="B26" t="s">
        <v>297</v>
      </c>
      <c r="C26" s="8" t="s">
        <v>298</v>
      </c>
      <c r="D26" t="s">
        <v>250</v>
      </c>
      <c r="E26" t="s">
        <v>251</v>
      </c>
      <c r="F26" t="str">
        <f>"01.0399"</f>
        <v>01.0399</v>
      </c>
      <c r="G26" s="8" t="s">
        <v>298</v>
      </c>
    </row>
    <row r="27" spans="1:7" x14ac:dyDescent="0.35">
      <c r="A27" t="str">
        <f>"01.0401"</f>
        <v>01.0401</v>
      </c>
      <c r="B27" t="s">
        <v>299</v>
      </c>
      <c r="C27" s="8" t="s">
        <v>300</v>
      </c>
      <c r="D27" t="s">
        <v>250</v>
      </c>
      <c r="E27" t="s">
        <v>251</v>
      </c>
      <c r="F27" t="str">
        <f>"01.0401"</f>
        <v>01.0401</v>
      </c>
      <c r="G27" s="8" t="s">
        <v>300</v>
      </c>
    </row>
    <row r="28" spans="1:7" x14ac:dyDescent="0.35">
      <c r="D28" t="s">
        <v>275</v>
      </c>
      <c r="E28" t="s">
        <v>251</v>
      </c>
      <c r="F28" t="str">
        <f>"01.0480"</f>
        <v>01.0480</v>
      </c>
      <c r="G28" s="8" t="s">
        <v>301</v>
      </c>
    </row>
    <row r="29" spans="1:7" x14ac:dyDescent="0.35">
      <c r="A29" t="str">
        <f>"01.0504"</f>
        <v>01.0504</v>
      </c>
      <c r="B29" t="s">
        <v>302</v>
      </c>
      <c r="C29" s="8" t="s">
        <v>303</v>
      </c>
      <c r="D29" t="s">
        <v>250</v>
      </c>
      <c r="E29" t="s">
        <v>251</v>
      </c>
      <c r="F29" t="str">
        <f>"01.0504"</f>
        <v>01.0504</v>
      </c>
      <c r="G29" s="8" t="s">
        <v>303</v>
      </c>
    </row>
    <row r="30" spans="1:7" x14ac:dyDescent="0.35">
      <c r="A30" t="str">
        <f>"01.0505"</f>
        <v>01.0505</v>
      </c>
      <c r="B30" t="s">
        <v>304</v>
      </c>
      <c r="C30" s="8" t="s">
        <v>305</v>
      </c>
      <c r="D30" t="s">
        <v>250</v>
      </c>
      <c r="E30" t="s">
        <v>251</v>
      </c>
      <c r="F30" t="str">
        <f>"01.0505"</f>
        <v>01.0505</v>
      </c>
      <c r="G30" s="8" t="s">
        <v>305</v>
      </c>
    </row>
    <row r="31" spans="1:7" x14ac:dyDescent="0.35">
      <c r="A31" t="str">
        <f>"01.0507"</f>
        <v>01.0507</v>
      </c>
      <c r="B31" t="s">
        <v>306</v>
      </c>
      <c r="C31" s="8" t="s">
        <v>307</v>
      </c>
      <c r="D31" t="s">
        <v>250</v>
      </c>
      <c r="E31" t="s">
        <v>251</v>
      </c>
      <c r="F31" t="str">
        <f>"01.0507"</f>
        <v>01.0507</v>
      </c>
      <c r="G31" s="8" t="s">
        <v>307</v>
      </c>
    </row>
    <row r="32" spans="1:7" x14ac:dyDescent="0.35">
      <c r="A32" t="str">
        <f>"01.0508"</f>
        <v>01.0508</v>
      </c>
      <c r="B32" t="s">
        <v>308</v>
      </c>
      <c r="C32" s="8" t="s">
        <v>309</v>
      </c>
      <c r="D32" t="s">
        <v>250</v>
      </c>
      <c r="E32" t="s">
        <v>251</v>
      </c>
      <c r="F32" t="str">
        <f>"01.0508"</f>
        <v>01.0508</v>
      </c>
      <c r="G32" s="8" t="s">
        <v>309</v>
      </c>
    </row>
    <row r="33" spans="1:7" x14ac:dyDescent="0.35">
      <c r="D33" t="s">
        <v>275</v>
      </c>
      <c r="E33" t="s">
        <v>251</v>
      </c>
      <c r="F33" t="str">
        <f>"01.0509"</f>
        <v>01.0509</v>
      </c>
      <c r="G33" s="8" t="s">
        <v>310</v>
      </c>
    </row>
    <row r="34" spans="1:7" ht="29" x14ac:dyDescent="0.35">
      <c r="A34" t="str">
        <f>"01.0599"</f>
        <v>01.0599</v>
      </c>
      <c r="B34" t="s">
        <v>311</v>
      </c>
      <c r="C34" s="8" t="s">
        <v>312</v>
      </c>
      <c r="D34" t="s">
        <v>250</v>
      </c>
      <c r="E34" t="s">
        <v>251</v>
      </c>
      <c r="F34" t="str">
        <f>"01.0599"</f>
        <v>01.0599</v>
      </c>
      <c r="G34" s="8" t="s">
        <v>312</v>
      </c>
    </row>
    <row r="35" spans="1:7" ht="29" x14ac:dyDescent="0.35">
      <c r="A35" t="str">
        <f>"01.0601"</f>
        <v>01.0601</v>
      </c>
      <c r="B35" t="s">
        <v>313</v>
      </c>
      <c r="C35" s="8" t="s">
        <v>314</v>
      </c>
      <c r="D35" t="s">
        <v>250</v>
      </c>
      <c r="E35" t="s">
        <v>251</v>
      </c>
      <c r="F35" t="str">
        <f>"01.0601"</f>
        <v>01.0601</v>
      </c>
      <c r="G35" s="8" t="s">
        <v>314</v>
      </c>
    </row>
    <row r="36" spans="1:7" x14ac:dyDescent="0.35">
      <c r="A36" t="str">
        <f>"01.0603"</f>
        <v>01.0603</v>
      </c>
      <c r="B36" t="s">
        <v>315</v>
      </c>
      <c r="C36" s="8" t="s">
        <v>316</v>
      </c>
      <c r="D36" t="s">
        <v>250</v>
      </c>
      <c r="E36" t="s">
        <v>251</v>
      </c>
      <c r="F36" t="str">
        <f>"01.0603"</f>
        <v>01.0603</v>
      </c>
      <c r="G36" s="8" t="s">
        <v>316</v>
      </c>
    </row>
    <row r="37" spans="1:7" ht="29" x14ac:dyDescent="0.35">
      <c r="A37" t="str">
        <f>"01.0604"</f>
        <v>01.0604</v>
      </c>
      <c r="B37" t="s">
        <v>317</v>
      </c>
      <c r="C37" s="8" t="s">
        <v>318</v>
      </c>
      <c r="D37" t="s">
        <v>250</v>
      </c>
      <c r="E37" t="s">
        <v>251</v>
      </c>
      <c r="F37" t="str">
        <f>"01.0604"</f>
        <v>01.0604</v>
      </c>
      <c r="G37" s="8" t="s">
        <v>318</v>
      </c>
    </row>
    <row r="38" spans="1:7" x14ac:dyDescent="0.35">
      <c r="A38" t="str">
        <f>"01.0605"</f>
        <v>01.0605</v>
      </c>
      <c r="B38" t="s">
        <v>319</v>
      </c>
      <c r="C38" s="8" t="s">
        <v>320</v>
      </c>
      <c r="D38" t="s">
        <v>250</v>
      </c>
      <c r="E38" t="s">
        <v>251</v>
      </c>
      <c r="F38" t="str">
        <f>"01.0605"</f>
        <v>01.0605</v>
      </c>
      <c r="G38" s="8" t="s">
        <v>320</v>
      </c>
    </row>
    <row r="39" spans="1:7" ht="29" x14ac:dyDescent="0.35">
      <c r="A39" t="str">
        <f>"01.0606"</f>
        <v>01.0606</v>
      </c>
      <c r="B39" t="s">
        <v>321</v>
      </c>
      <c r="C39" s="8" t="s">
        <v>322</v>
      </c>
      <c r="D39" t="s">
        <v>250</v>
      </c>
      <c r="E39" t="s">
        <v>251</v>
      </c>
      <c r="F39" t="str">
        <f>"01.0606"</f>
        <v>01.0606</v>
      </c>
      <c r="G39" s="8" t="s">
        <v>322</v>
      </c>
    </row>
    <row r="40" spans="1:7" x14ac:dyDescent="0.35">
      <c r="A40" t="str">
        <f>"01.0607"</f>
        <v>01.0607</v>
      </c>
      <c r="B40" t="s">
        <v>323</v>
      </c>
      <c r="C40" s="8" t="s">
        <v>324</v>
      </c>
      <c r="D40" t="s">
        <v>250</v>
      </c>
      <c r="E40" t="s">
        <v>251</v>
      </c>
      <c r="F40" t="str">
        <f>"01.0607"</f>
        <v>01.0607</v>
      </c>
      <c r="G40" s="8" t="s">
        <v>324</v>
      </c>
    </row>
    <row r="41" spans="1:7" ht="29" x14ac:dyDescent="0.35">
      <c r="A41" t="str">
        <f>"01.0608"</f>
        <v>01.0608</v>
      </c>
      <c r="B41" t="s">
        <v>325</v>
      </c>
      <c r="C41" s="8" t="s">
        <v>326</v>
      </c>
      <c r="D41" t="s">
        <v>250</v>
      </c>
      <c r="E41" t="s">
        <v>251</v>
      </c>
      <c r="F41" t="str">
        <f>"01.0608"</f>
        <v>01.0608</v>
      </c>
      <c r="G41" s="8" t="s">
        <v>326</v>
      </c>
    </row>
    <row r="42" spans="1:7" x14ac:dyDescent="0.35">
      <c r="D42" t="s">
        <v>275</v>
      </c>
      <c r="E42" t="s">
        <v>251</v>
      </c>
      <c r="F42" t="str">
        <f>"01.0609"</f>
        <v>01.0609</v>
      </c>
      <c r="G42" s="8" t="s">
        <v>327</v>
      </c>
    </row>
    <row r="43" spans="1:7" x14ac:dyDescent="0.35">
      <c r="D43" t="s">
        <v>275</v>
      </c>
      <c r="E43" t="s">
        <v>251</v>
      </c>
      <c r="F43" t="str">
        <f>"01.0610"</f>
        <v>01.0610</v>
      </c>
      <c r="G43" s="8" t="s">
        <v>328</v>
      </c>
    </row>
    <row r="44" spans="1:7" x14ac:dyDescent="0.35">
      <c r="D44" t="s">
        <v>275</v>
      </c>
      <c r="E44" t="s">
        <v>251</v>
      </c>
      <c r="F44" t="str">
        <f>"01.0680"</f>
        <v>01.0680</v>
      </c>
      <c r="G44" s="8" t="s">
        <v>301</v>
      </c>
    </row>
    <row r="45" spans="1:7" ht="29" x14ac:dyDescent="0.35">
      <c r="A45" t="str">
        <f>"01.0699"</f>
        <v>01.0699</v>
      </c>
      <c r="B45" t="s">
        <v>329</v>
      </c>
      <c r="C45" s="8" t="s">
        <v>330</v>
      </c>
      <c r="D45" t="s">
        <v>250</v>
      </c>
      <c r="E45" t="s">
        <v>251</v>
      </c>
      <c r="F45" t="str">
        <f>"01.0699"</f>
        <v>01.0699</v>
      </c>
      <c r="G45" s="8" t="s">
        <v>330</v>
      </c>
    </row>
    <row r="46" spans="1:7" x14ac:dyDescent="0.35">
      <c r="A46" t="str">
        <f>"01.0701"</f>
        <v>01.0701</v>
      </c>
      <c r="B46" t="s">
        <v>331</v>
      </c>
      <c r="C46" s="8" t="s">
        <v>332</v>
      </c>
      <c r="D46" t="s">
        <v>250</v>
      </c>
      <c r="E46" t="s">
        <v>251</v>
      </c>
      <c r="F46" t="str">
        <f>"01.0701"</f>
        <v>01.0701</v>
      </c>
      <c r="G46" s="8" t="s">
        <v>332</v>
      </c>
    </row>
    <row r="47" spans="1:7" ht="29" x14ac:dyDescent="0.35">
      <c r="A47" t="str">
        <f>"01.0801"</f>
        <v>01.0801</v>
      </c>
      <c r="B47" t="s">
        <v>333</v>
      </c>
      <c r="C47" s="8" t="s">
        <v>334</v>
      </c>
      <c r="D47" t="s">
        <v>250</v>
      </c>
      <c r="E47" t="s">
        <v>251</v>
      </c>
      <c r="F47" t="str">
        <f>"01.0801"</f>
        <v>01.0801</v>
      </c>
      <c r="G47" s="8" t="s">
        <v>334</v>
      </c>
    </row>
    <row r="48" spans="1:7" x14ac:dyDescent="0.35">
      <c r="A48" t="str">
        <f>"01.0802"</f>
        <v>01.0802</v>
      </c>
      <c r="B48" t="s">
        <v>335</v>
      </c>
      <c r="C48" s="8" t="s">
        <v>336</v>
      </c>
      <c r="D48" t="s">
        <v>250</v>
      </c>
      <c r="E48" t="s">
        <v>251</v>
      </c>
      <c r="F48" t="str">
        <f>"01.0802"</f>
        <v>01.0802</v>
      </c>
      <c r="G48" s="8" t="s">
        <v>336</v>
      </c>
    </row>
    <row r="49" spans="1:7" x14ac:dyDescent="0.35">
      <c r="A49" t="str">
        <f>"01.0899"</f>
        <v>01.0899</v>
      </c>
      <c r="B49" t="s">
        <v>337</v>
      </c>
      <c r="C49" s="8" t="s">
        <v>338</v>
      </c>
      <c r="D49" t="s">
        <v>250</v>
      </c>
      <c r="E49" t="s">
        <v>251</v>
      </c>
      <c r="F49" t="str">
        <f>"01.0899"</f>
        <v>01.0899</v>
      </c>
      <c r="G49" s="8" t="s">
        <v>338</v>
      </c>
    </row>
    <row r="50" spans="1:7" x14ac:dyDescent="0.35">
      <c r="A50" t="str">
        <f>"01.0901"</f>
        <v>01.0901</v>
      </c>
      <c r="B50" t="s">
        <v>339</v>
      </c>
      <c r="C50" s="8" t="s">
        <v>340</v>
      </c>
      <c r="D50" t="s">
        <v>250</v>
      </c>
      <c r="E50" t="s">
        <v>251</v>
      </c>
      <c r="F50" t="str">
        <f>"01.0901"</f>
        <v>01.0901</v>
      </c>
      <c r="G50" s="8" t="s">
        <v>340</v>
      </c>
    </row>
    <row r="51" spans="1:7" x14ac:dyDescent="0.35">
      <c r="A51" t="str">
        <f>"01.0902"</f>
        <v>01.0902</v>
      </c>
      <c r="B51" t="s">
        <v>341</v>
      </c>
      <c r="C51" s="8" t="s">
        <v>342</v>
      </c>
      <c r="D51" t="s">
        <v>250</v>
      </c>
      <c r="E51" t="s">
        <v>251</v>
      </c>
      <c r="F51" t="str">
        <f>"01.0902"</f>
        <v>01.0902</v>
      </c>
      <c r="G51" s="8" t="s">
        <v>342</v>
      </c>
    </row>
    <row r="52" spans="1:7" x14ac:dyDescent="0.35">
      <c r="A52" t="str">
        <f>"01.0903"</f>
        <v>01.0903</v>
      </c>
      <c r="B52" t="s">
        <v>343</v>
      </c>
      <c r="C52" s="8" t="s">
        <v>344</v>
      </c>
      <c r="D52" t="s">
        <v>250</v>
      </c>
      <c r="E52" t="s">
        <v>251</v>
      </c>
      <c r="F52" t="str">
        <f>"01.0903"</f>
        <v>01.0903</v>
      </c>
      <c r="G52" s="8" t="s">
        <v>344</v>
      </c>
    </row>
    <row r="53" spans="1:7" x14ac:dyDescent="0.35">
      <c r="A53" t="str">
        <f>"01.0904"</f>
        <v>01.0904</v>
      </c>
      <c r="B53" t="s">
        <v>345</v>
      </c>
      <c r="C53" s="8" t="s">
        <v>346</v>
      </c>
      <c r="D53" t="s">
        <v>250</v>
      </c>
      <c r="E53" t="s">
        <v>251</v>
      </c>
      <c r="F53" t="str">
        <f>"01.0904"</f>
        <v>01.0904</v>
      </c>
      <c r="G53" s="8" t="s">
        <v>346</v>
      </c>
    </row>
    <row r="54" spans="1:7" x14ac:dyDescent="0.35">
      <c r="A54" t="str">
        <f>"01.0905"</f>
        <v>01.0905</v>
      </c>
      <c r="B54" t="s">
        <v>347</v>
      </c>
      <c r="C54" s="8" t="s">
        <v>348</v>
      </c>
      <c r="D54" t="s">
        <v>250</v>
      </c>
      <c r="E54" t="s">
        <v>251</v>
      </c>
      <c r="F54" t="str">
        <f>"01.0905"</f>
        <v>01.0905</v>
      </c>
      <c r="G54" s="8" t="s">
        <v>348</v>
      </c>
    </row>
    <row r="55" spans="1:7" x14ac:dyDescent="0.35">
      <c r="A55" t="str">
        <f>"01.0906"</f>
        <v>01.0906</v>
      </c>
      <c r="B55" t="s">
        <v>349</v>
      </c>
      <c r="C55" s="8" t="s">
        <v>350</v>
      </c>
      <c r="D55" t="s">
        <v>250</v>
      </c>
      <c r="E55" t="s">
        <v>251</v>
      </c>
      <c r="F55" t="str">
        <f>"01.0906"</f>
        <v>01.0906</v>
      </c>
      <c r="G55" s="8" t="s">
        <v>350</v>
      </c>
    </row>
    <row r="56" spans="1:7" x14ac:dyDescent="0.35">
      <c r="A56" t="str">
        <f>"01.0907"</f>
        <v>01.0907</v>
      </c>
      <c r="B56" t="s">
        <v>351</v>
      </c>
      <c r="C56" s="8" t="s">
        <v>352</v>
      </c>
      <c r="D56" t="s">
        <v>250</v>
      </c>
      <c r="E56" t="s">
        <v>251</v>
      </c>
      <c r="F56" t="str">
        <f>"01.0907"</f>
        <v>01.0907</v>
      </c>
      <c r="G56" s="8" t="s">
        <v>352</v>
      </c>
    </row>
    <row r="57" spans="1:7" x14ac:dyDescent="0.35">
      <c r="A57" t="str">
        <f>"01.0999"</f>
        <v>01.0999</v>
      </c>
      <c r="B57" t="s">
        <v>353</v>
      </c>
      <c r="C57" s="8" t="s">
        <v>354</v>
      </c>
      <c r="D57" t="s">
        <v>250</v>
      </c>
      <c r="E57" t="s">
        <v>251</v>
      </c>
      <c r="F57" t="str">
        <f>"01.0999"</f>
        <v>01.0999</v>
      </c>
      <c r="G57" s="8" t="s">
        <v>354</v>
      </c>
    </row>
    <row r="58" spans="1:7" x14ac:dyDescent="0.35">
      <c r="A58" t="str">
        <f>"01.1001"</f>
        <v>01.1001</v>
      </c>
      <c r="B58" t="s">
        <v>355</v>
      </c>
      <c r="C58" s="8" t="s">
        <v>356</v>
      </c>
      <c r="D58" t="s">
        <v>250</v>
      </c>
      <c r="E58" t="s">
        <v>251</v>
      </c>
      <c r="F58" t="str">
        <f>"01.1001"</f>
        <v>01.1001</v>
      </c>
      <c r="G58" s="8" t="s">
        <v>356</v>
      </c>
    </row>
    <row r="59" spans="1:7" x14ac:dyDescent="0.35">
      <c r="A59" t="str">
        <f>"01.1002"</f>
        <v>01.1002</v>
      </c>
      <c r="B59" t="s">
        <v>357</v>
      </c>
      <c r="C59" s="8" t="s">
        <v>358</v>
      </c>
      <c r="D59" t="s">
        <v>250</v>
      </c>
      <c r="E59" t="s">
        <v>251</v>
      </c>
      <c r="F59" t="str">
        <f>"01.1002"</f>
        <v>01.1002</v>
      </c>
      <c r="G59" s="8" t="s">
        <v>358</v>
      </c>
    </row>
    <row r="60" spans="1:7" x14ac:dyDescent="0.35">
      <c r="D60" t="s">
        <v>275</v>
      </c>
      <c r="E60" t="s">
        <v>251</v>
      </c>
      <c r="F60" t="str">
        <f>"01.1003"</f>
        <v>01.1003</v>
      </c>
      <c r="G60" s="8" t="s">
        <v>359</v>
      </c>
    </row>
    <row r="61" spans="1:7" x14ac:dyDescent="0.35">
      <c r="D61" t="s">
        <v>275</v>
      </c>
      <c r="E61" t="s">
        <v>251</v>
      </c>
      <c r="F61" t="str">
        <f>"01.1005"</f>
        <v>01.1005</v>
      </c>
      <c r="G61" s="8" t="s">
        <v>360</v>
      </c>
    </row>
    <row r="62" spans="1:7" x14ac:dyDescent="0.35">
      <c r="A62" t="str">
        <f>"01.1099"</f>
        <v>01.1099</v>
      </c>
      <c r="B62" t="s">
        <v>361</v>
      </c>
      <c r="C62" s="8" t="s">
        <v>362</v>
      </c>
      <c r="D62" t="s">
        <v>250</v>
      </c>
      <c r="E62" t="s">
        <v>251</v>
      </c>
      <c r="F62" t="str">
        <f>"01.1099"</f>
        <v>01.1099</v>
      </c>
      <c r="G62" s="8" t="s">
        <v>362</v>
      </c>
    </row>
    <row r="63" spans="1:7" x14ac:dyDescent="0.35">
      <c r="A63" t="str">
        <f>"01.1101"</f>
        <v>01.1101</v>
      </c>
      <c r="B63" t="s">
        <v>363</v>
      </c>
      <c r="C63" s="8" t="s">
        <v>364</v>
      </c>
      <c r="D63" t="s">
        <v>250</v>
      </c>
      <c r="E63" t="s">
        <v>251</v>
      </c>
      <c r="F63" t="str">
        <f>"01.1101"</f>
        <v>01.1101</v>
      </c>
      <c r="G63" s="8" t="s">
        <v>364</v>
      </c>
    </row>
    <row r="64" spans="1:7" x14ac:dyDescent="0.35">
      <c r="A64" t="str">
        <f>"01.1102"</f>
        <v>01.1102</v>
      </c>
      <c r="B64" t="s">
        <v>365</v>
      </c>
      <c r="C64" s="8" t="s">
        <v>366</v>
      </c>
      <c r="D64" t="s">
        <v>250</v>
      </c>
      <c r="E64" t="s">
        <v>251</v>
      </c>
      <c r="F64" t="str">
        <f>"01.1102"</f>
        <v>01.1102</v>
      </c>
      <c r="G64" s="8" t="s">
        <v>366</v>
      </c>
    </row>
    <row r="65" spans="1:7" x14ac:dyDescent="0.35">
      <c r="A65" t="str">
        <f>"01.1103"</f>
        <v>01.1103</v>
      </c>
      <c r="B65" t="s">
        <v>367</v>
      </c>
      <c r="C65" s="8" t="s">
        <v>368</v>
      </c>
      <c r="D65" t="s">
        <v>250</v>
      </c>
      <c r="E65" t="s">
        <v>251</v>
      </c>
      <c r="F65" t="str">
        <f>"01.1103"</f>
        <v>01.1103</v>
      </c>
      <c r="G65" s="8" t="s">
        <v>368</v>
      </c>
    </row>
    <row r="66" spans="1:7" ht="29" x14ac:dyDescent="0.35">
      <c r="A66" t="str">
        <f>"01.1104"</f>
        <v>01.1104</v>
      </c>
      <c r="B66" t="s">
        <v>369</v>
      </c>
      <c r="C66" s="8" t="s">
        <v>370</v>
      </c>
      <c r="D66" t="s">
        <v>250</v>
      </c>
      <c r="E66" t="s">
        <v>251</v>
      </c>
      <c r="F66" t="str">
        <f>"01.1104"</f>
        <v>01.1104</v>
      </c>
      <c r="G66" s="8" t="s">
        <v>370</v>
      </c>
    </row>
    <row r="67" spans="1:7" ht="29" x14ac:dyDescent="0.35">
      <c r="A67" t="str">
        <f>"01.1105"</f>
        <v>01.1105</v>
      </c>
      <c r="B67" t="s">
        <v>371</v>
      </c>
      <c r="C67" s="8" t="s">
        <v>372</v>
      </c>
      <c r="D67" t="s">
        <v>250</v>
      </c>
      <c r="E67" t="s">
        <v>251</v>
      </c>
      <c r="F67" t="str">
        <f>"01.1105"</f>
        <v>01.1105</v>
      </c>
      <c r="G67" s="8" t="s">
        <v>372</v>
      </c>
    </row>
    <row r="68" spans="1:7" x14ac:dyDescent="0.35">
      <c r="A68" t="str">
        <f>"01.1106"</f>
        <v>01.1106</v>
      </c>
      <c r="B68" t="s">
        <v>373</v>
      </c>
      <c r="C68" s="8" t="s">
        <v>374</v>
      </c>
      <c r="D68" t="s">
        <v>250</v>
      </c>
      <c r="E68" t="s">
        <v>251</v>
      </c>
      <c r="F68" t="str">
        <f>"01.1106"</f>
        <v>01.1106</v>
      </c>
      <c r="G68" s="8" t="s">
        <v>374</v>
      </c>
    </row>
    <row r="69" spans="1:7" x14ac:dyDescent="0.35">
      <c r="D69" t="s">
        <v>275</v>
      </c>
      <c r="E69" t="s">
        <v>251</v>
      </c>
      <c r="F69" t="str">
        <f>"01.1180"</f>
        <v>01.1180</v>
      </c>
      <c r="G69" s="8" t="s">
        <v>301</v>
      </c>
    </row>
    <row r="70" spans="1:7" x14ac:dyDescent="0.35">
      <c r="A70" t="str">
        <f>"01.1199"</f>
        <v>01.1199</v>
      </c>
      <c r="B70" t="s">
        <v>375</v>
      </c>
      <c r="C70" s="8" t="s">
        <v>376</v>
      </c>
      <c r="D70" t="s">
        <v>250</v>
      </c>
      <c r="E70" t="s">
        <v>251</v>
      </c>
      <c r="F70" t="str">
        <f>"01.1199"</f>
        <v>01.1199</v>
      </c>
      <c r="G70" s="8" t="s">
        <v>376</v>
      </c>
    </row>
    <row r="71" spans="1:7" x14ac:dyDescent="0.35">
      <c r="A71" t="str">
        <f>"01.1201"</f>
        <v>01.1201</v>
      </c>
      <c r="B71" t="s">
        <v>377</v>
      </c>
      <c r="C71" s="8" t="s">
        <v>378</v>
      </c>
      <c r="D71" t="s">
        <v>250</v>
      </c>
      <c r="E71" t="s">
        <v>251</v>
      </c>
      <c r="F71" t="str">
        <f>"01.1201"</f>
        <v>01.1201</v>
      </c>
      <c r="G71" s="8" t="s">
        <v>378</v>
      </c>
    </row>
    <row r="72" spans="1:7" x14ac:dyDescent="0.35">
      <c r="A72" t="str">
        <f>"01.1202"</f>
        <v>01.1202</v>
      </c>
      <c r="B72" t="s">
        <v>379</v>
      </c>
      <c r="C72" s="8" t="s">
        <v>380</v>
      </c>
      <c r="D72" t="s">
        <v>250</v>
      </c>
      <c r="E72" t="s">
        <v>251</v>
      </c>
      <c r="F72" t="str">
        <f>"01.1202"</f>
        <v>01.1202</v>
      </c>
      <c r="G72" s="8" t="s">
        <v>380</v>
      </c>
    </row>
    <row r="73" spans="1:7" x14ac:dyDescent="0.35">
      <c r="A73" t="str">
        <f>"01.1203"</f>
        <v>01.1203</v>
      </c>
      <c r="B73" t="s">
        <v>381</v>
      </c>
      <c r="C73" s="8" t="s">
        <v>382</v>
      </c>
      <c r="D73" t="s">
        <v>250</v>
      </c>
      <c r="E73" t="s">
        <v>251</v>
      </c>
      <c r="F73" t="str">
        <f>"01.1203"</f>
        <v>01.1203</v>
      </c>
      <c r="G73" s="8" t="s">
        <v>382</v>
      </c>
    </row>
    <row r="74" spans="1:7" x14ac:dyDescent="0.35">
      <c r="A74" t="str">
        <f>"01.1299"</f>
        <v>01.1299</v>
      </c>
      <c r="B74" t="s">
        <v>383</v>
      </c>
      <c r="C74" s="8" t="s">
        <v>384</v>
      </c>
      <c r="D74" t="s">
        <v>250</v>
      </c>
      <c r="E74" t="s">
        <v>251</v>
      </c>
      <c r="F74" t="str">
        <f>"01.1299"</f>
        <v>01.1299</v>
      </c>
      <c r="G74" s="8" t="s">
        <v>384</v>
      </c>
    </row>
    <row r="75" spans="1:7" ht="29" x14ac:dyDescent="0.35">
      <c r="D75" t="s">
        <v>275</v>
      </c>
      <c r="E75" t="s">
        <v>251</v>
      </c>
      <c r="F75" t="str">
        <f>"01.1399"</f>
        <v>01.1399</v>
      </c>
      <c r="G75" s="8" t="s">
        <v>385</v>
      </c>
    </row>
    <row r="76" spans="1:7" x14ac:dyDescent="0.35">
      <c r="D76" t="s">
        <v>275</v>
      </c>
      <c r="E76" t="s">
        <v>251</v>
      </c>
      <c r="F76" t="str">
        <f>"01.8201"</f>
        <v>01.8201</v>
      </c>
      <c r="G76" s="8" t="s">
        <v>386</v>
      </c>
    </row>
    <row r="77" spans="1:7" x14ac:dyDescent="0.35">
      <c r="D77" t="s">
        <v>275</v>
      </c>
      <c r="E77" t="s">
        <v>251</v>
      </c>
      <c r="F77" t="str">
        <f>"01.8202"</f>
        <v>01.8202</v>
      </c>
      <c r="G77" s="8" t="s">
        <v>387</v>
      </c>
    </row>
    <row r="78" spans="1:7" x14ac:dyDescent="0.35">
      <c r="D78" t="s">
        <v>275</v>
      </c>
      <c r="E78" t="s">
        <v>251</v>
      </c>
      <c r="F78" t="str">
        <f>"01.8203"</f>
        <v>01.8203</v>
      </c>
      <c r="G78" s="8" t="s">
        <v>388</v>
      </c>
    </row>
    <row r="79" spans="1:7" ht="29" x14ac:dyDescent="0.35">
      <c r="D79" t="s">
        <v>275</v>
      </c>
      <c r="E79" t="s">
        <v>251</v>
      </c>
      <c r="F79" t="str">
        <f>"01.8204"</f>
        <v>01.8204</v>
      </c>
      <c r="G79" s="8" t="s">
        <v>389</v>
      </c>
    </row>
    <row r="80" spans="1:7" x14ac:dyDescent="0.35">
      <c r="D80" t="s">
        <v>275</v>
      </c>
      <c r="E80" t="s">
        <v>251</v>
      </c>
      <c r="F80" t="str">
        <f>"01.8299"</f>
        <v>01.8299</v>
      </c>
      <c r="G80" s="8" t="s">
        <v>390</v>
      </c>
    </row>
    <row r="81" spans="1:7" ht="29" x14ac:dyDescent="0.35">
      <c r="D81" t="s">
        <v>275</v>
      </c>
      <c r="E81" t="s">
        <v>251</v>
      </c>
      <c r="F81" t="str">
        <f>"01.8399"</f>
        <v>01.8399</v>
      </c>
      <c r="G81" s="8" t="s">
        <v>391</v>
      </c>
    </row>
    <row r="82" spans="1:7" ht="29" x14ac:dyDescent="0.35">
      <c r="A82" t="str">
        <f>"01.9999"</f>
        <v>01.9999</v>
      </c>
      <c r="B82" t="s">
        <v>392</v>
      </c>
      <c r="C82" s="8" t="s">
        <v>393</v>
      </c>
      <c r="D82" t="s">
        <v>250</v>
      </c>
      <c r="E82" t="s">
        <v>264</v>
      </c>
      <c r="F82" t="str">
        <f>"01.9999"</f>
        <v>01.9999</v>
      </c>
      <c r="G82" s="8" t="s">
        <v>394</v>
      </c>
    </row>
    <row r="83" spans="1:7" x14ac:dyDescent="0.35">
      <c r="A83" t="str">
        <f>"03.0101"</f>
        <v>03.0101</v>
      </c>
      <c r="B83" t="s">
        <v>395</v>
      </c>
      <c r="C83" s="8" t="s">
        <v>396</v>
      </c>
      <c r="D83" t="s">
        <v>250</v>
      </c>
      <c r="E83" t="s">
        <v>251</v>
      </c>
      <c r="F83" t="str">
        <f>"03.0101"</f>
        <v>03.0101</v>
      </c>
      <c r="G83" s="8" t="s">
        <v>396</v>
      </c>
    </row>
    <row r="84" spans="1:7" x14ac:dyDescent="0.35">
      <c r="A84" t="str">
        <f>"03.0103"</f>
        <v>03.0103</v>
      </c>
      <c r="B84" t="s">
        <v>397</v>
      </c>
      <c r="C84" s="8" t="s">
        <v>398</v>
      </c>
      <c r="D84" t="s">
        <v>250</v>
      </c>
      <c r="E84" t="s">
        <v>251</v>
      </c>
      <c r="F84" t="str">
        <f>"03.0103"</f>
        <v>03.0103</v>
      </c>
      <c r="G84" s="8" t="s">
        <v>398</v>
      </c>
    </row>
    <row r="85" spans="1:7" x14ac:dyDescent="0.35">
      <c r="A85" t="str">
        <f>"03.0104"</f>
        <v>03.0104</v>
      </c>
      <c r="B85" t="s">
        <v>399</v>
      </c>
      <c r="C85" s="8" t="s">
        <v>400</v>
      </c>
      <c r="D85" t="s">
        <v>250</v>
      </c>
      <c r="E85" t="s">
        <v>251</v>
      </c>
      <c r="F85" t="str">
        <f>"03.0104"</f>
        <v>03.0104</v>
      </c>
      <c r="G85" s="8" t="s">
        <v>400</v>
      </c>
    </row>
    <row r="86" spans="1:7" ht="29" x14ac:dyDescent="0.35">
      <c r="A86" t="str">
        <f>"03.0199"</f>
        <v>03.0199</v>
      </c>
      <c r="B86" t="s">
        <v>401</v>
      </c>
      <c r="C86" s="8" t="s">
        <v>402</v>
      </c>
      <c r="D86" t="s">
        <v>250</v>
      </c>
      <c r="E86" t="s">
        <v>251</v>
      </c>
      <c r="F86" t="str">
        <f>"03.0199"</f>
        <v>03.0199</v>
      </c>
      <c r="G86" s="8" t="s">
        <v>402</v>
      </c>
    </row>
    <row r="87" spans="1:7" ht="29" x14ac:dyDescent="0.35">
      <c r="A87" t="str">
        <f>"03.0201"</f>
        <v>03.0201</v>
      </c>
      <c r="B87" t="s">
        <v>403</v>
      </c>
      <c r="C87" s="8" t="s">
        <v>404</v>
      </c>
      <c r="D87" t="s">
        <v>250</v>
      </c>
      <c r="E87" t="s">
        <v>264</v>
      </c>
      <c r="F87" t="str">
        <f>"03.0201"</f>
        <v>03.0201</v>
      </c>
      <c r="G87" s="8" t="s">
        <v>405</v>
      </c>
    </row>
    <row r="88" spans="1:7" x14ac:dyDescent="0.35">
      <c r="A88" t="str">
        <f>"03.0204"</f>
        <v>03.0204</v>
      </c>
      <c r="B88" t="s">
        <v>406</v>
      </c>
      <c r="C88" s="8" t="s">
        <v>407</v>
      </c>
      <c r="D88" t="s">
        <v>250</v>
      </c>
      <c r="E88" t="s">
        <v>264</v>
      </c>
      <c r="F88" t="str">
        <f>"03.0204"</f>
        <v>03.0204</v>
      </c>
      <c r="G88" s="8" t="s">
        <v>408</v>
      </c>
    </row>
    <row r="89" spans="1:7" ht="29" x14ac:dyDescent="0.35">
      <c r="A89" t="str">
        <f>"03.0205"</f>
        <v>03.0205</v>
      </c>
      <c r="B89" t="s">
        <v>409</v>
      </c>
      <c r="C89" s="8" t="s">
        <v>410</v>
      </c>
      <c r="D89" t="s">
        <v>250</v>
      </c>
      <c r="E89" t="s">
        <v>251</v>
      </c>
      <c r="F89" t="str">
        <f>"03.0205"</f>
        <v>03.0205</v>
      </c>
      <c r="G89" s="8" t="s">
        <v>410</v>
      </c>
    </row>
    <row r="90" spans="1:7" ht="29" x14ac:dyDescent="0.35">
      <c r="A90" t="str">
        <f>"03.0206"</f>
        <v>03.0206</v>
      </c>
      <c r="B90" t="s">
        <v>411</v>
      </c>
      <c r="C90" s="8" t="s">
        <v>412</v>
      </c>
      <c r="D90" t="s">
        <v>250</v>
      </c>
      <c r="E90" t="s">
        <v>251</v>
      </c>
      <c r="F90" t="str">
        <f>"03.0206"</f>
        <v>03.0206</v>
      </c>
      <c r="G90" s="8" t="s">
        <v>412</v>
      </c>
    </row>
    <row r="91" spans="1:7" ht="29" x14ac:dyDescent="0.35">
      <c r="A91" t="str">
        <f>"03.0207"</f>
        <v>03.0207</v>
      </c>
      <c r="B91" t="s">
        <v>413</v>
      </c>
      <c r="C91" s="8" t="s">
        <v>414</v>
      </c>
      <c r="D91" t="s">
        <v>250</v>
      </c>
      <c r="E91" t="s">
        <v>264</v>
      </c>
      <c r="F91" t="str">
        <f>"03.0207"</f>
        <v>03.0207</v>
      </c>
      <c r="G91" s="8" t="s">
        <v>415</v>
      </c>
    </row>
    <row r="92" spans="1:7" ht="29" x14ac:dyDescent="0.35">
      <c r="A92" t="str">
        <f>"03.0208"</f>
        <v>03.0208</v>
      </c>
      <c r="B92" t="s">
        <v>416</v>
      </c>
      <c r="C92" s="8" t="s">
        <v>417</v>
      </c>
      <c r="D92" t="s">
        <v>250</v>
      </c>
      <c r="E92" t="s">
        <v>264</v>
      </c>
      <c r="F92" t="str">
        <f>"03.0208"</f>
        <v>03.0208</v>
      </c>
      <c r="G92" s="8" t="s">
        <v>418</v>
      </c>
    </row>
    <row r="93" spans="1:7" x14ac:dyDescent="0.35">
      <c r="D93" t="s">
        <v>275</v>
      </c>
      <c r="E93" t="s">
        <v>251</v>
      </c>
      <c r="F93" t="str">
        <f>"03.0209"</f>
        <v>03.0209</v>
      </c>
      <c r="G93" s="8" t="s">
        <v>419</v>
      </c>
    </row>
    <row r="94" spans="1:7" x14ac:dyDescent="0.35">
      <c r="D94" t="s">
        <v>275</v>
      </c>
      <c r="E94" t="s">
        <v>251</v>
      </c>
      <c r="F94" t="str">
        <f>"03.0210"</f>
        <v>03.0210</v>
      </c>
      <c r="G94" s="8" t="s">
        <v>420</v>
      </c>
    </row>
    <row r="95" spans="1:7" ht="29" x14ac:dyDescent="0.35">
      <c r="A95" t="str">
        <f>"03.0299"</f>
        <v>03.0299</v>
      </c>
      <c r="B95" t="s">
        <v>421</v>
      </c>
      <c r="C95" s="8" t="s">
        <v>422</v>
      </c>
      <c r="D95" t="s">
        <v>250</v>
      </c>
      <c r="E95" t="s">
        <v>264</v>
      </c>
      <c r="F95" t="str">
        <f>"03.0299"</f>
        <v>03.0299</v>
      </c>
      <c r="G95" s="8" t="s">
        <v>423</v>
      </c>
    </row>
    <row r="96" spans="1:7" ht="29" x14ac:dyDescent="0.35">
      <c r="A96" t="str">
        <f>"03.0301"</f>
        <v>03.0301</v>
      </c>
      <c r="B96" t="s">
        <v>424</v>
      </c>
      <c r="C96" s="8" t="s">
        <v>425</v>
      </c>
      <c r="D96" t="s">
        <v>250</v>
      </c>
      <c r="E96" t="s">
        <v>251</v>
      </c>
      <c r="F96" t="str">
        <f>"03.0301"</f>
        <v>03.0301</v>
      </c>
      <c r="G96" s="8" t="s">
        <v>425</v>
      </c>
    </row>
    <row r="97" spans="1:7" x14ac:dyDescent="0.35">
      <c r="A97" t="str">
        <f>"03.0501"</f>
        <v>03.0501</v>
      </c>
      <c r="B97" t="s">
        <v>426</v>
      </c>
      <c r="C97" s="8" t="s">
        <v>427</v>
      </c>
      <c r="D97" t="s">
        <v>250</v>
      </c>
      <c r="E97" t="s">
        <v>251</v>
      </c>
      <c r="F97" t="str">
        <f>"03.0501"</f>
        <v>03.0501</v>
      </c>
      <c r="G97" s="8" t="s">
        <v>427</v>
      </c>
    </row>
    <row r="98" spans="1:7" x14ac:dyDescent="0.35">
      <c r="A98" t="str">
        <f>"03.0502"</f>
        <v>03.0502</v>
      </c>
      <c r="B98" t="s">
        <v>428</v>
      </c>
      <c r="C98" s="8" t="s">
        <v>429</v>
      </c>
      <c r="D98" t="s">
        <v>250</v>
      </c>
      <c r="E98" t="s">
        <v>251</v>
      </c>
      <c r="F98" t="str">
        <f>"03.0502"</f>
        <v>03.0502</v>
      </c>
      <c r="G98" s="8" t="s">
        <v>429</v>
      </c>
    </row>
    <row r="99" spans="1:7" ht="29" x14ac:dyDescent="0.35">
      <c r="A99" t="str">
        <f>"03.0506"</f>
        <v>03.0506</v>
      </c>
      <c r="B99" t="s">
        <v>430</v>
      </c>
      <c r="C99" s="8" t="s">
        <v>431</v>
      </c>
      <c r="D99" t="s">
        <v>250</v>
      </c>
      <c r="E99" t="s">
        <v>251</v>
      </c>
      <c r="F99" t="str">
        <f>"03.0506"</f>
        <v>03.0506</v>
      </c>
      <c r="G99" s="8" t="s">
        <v>431</v>
      </c>
    </row>
    <row r="100" spans="1:7" x14ac:dyDescent="0.35">
      <c r="A100" t="str">
        <f>"03.0508"</f>
        <v>03.0508</v>
      </c>
      <c r="B100" t="s">
        <v>432</v>
      </c>
      <c r="C100" s="8" t="s">
        <v>433</v>
      </c>
      <c r="D100" t="s">
        <v>250</v>
      </c>
      <c r="E100" t="s">
        <v>251</v>
      </c>
      <c r="F100" t="str">
        <f>"03.0508"</f>
        <v>03.0508</v>
      </c>
      <c r="G100" s="8" t="s">
        <v>433</v>
      </c>
    </row>
    <row r="101" spans="1:7" ht="29" x14ac:dyDescent="0.35">
      <c r="A101" t="str">
        <f>"03.0509"</f>
        <v>03.0509</v>
      </c>
      <c r="B101" t="s">
        <v>434</v>
      </c>
      <c r="C101" s="8" t="s">
        <v>435</v>
      </c>
      <c r="D101" t="s">
        <v>250</v>
      </c>
      <c r="E101" t="s">
        <v>264</v>
      </c>
      <c r="F101" t="str">
        <f>"03.0509"</f>
        <v>03.0509</v>
      </c>
      <c r="G101" s="8" t="s">
        <v>436</v>
      </c>
    </row>
    <row r="102" spans="1:7" ht="29" x14ac:dyDescent="0.35">
      <c r="A102" t="str">
        <f>"03.0510"</f>
        <v>03.0510</v>
      </c>
      <c r="B102" t="s">
        <v>437</v>
      </c>
      <c r="C102" s="8" t="s">
        <v>438</v>
      </c>
      <c r="D102" t="s">
        <v>250</v>
      </c>
      <c r="E102" t="s">
        <v>251</v>
      </c>
      <c r="F102" t="str">
        <f>"03.0510"</f>
        <v>03.0510</v>
      </c>
      <c r="G102" s="8" t="s">
        <v>438</v>
      </c>
    </row>
    <row r="103" spans="1:7" x14ac:dyDescent="0.35">
      <c r="A103" t="str">
        <f>"03.0511"</f>
        <v>03.0511</v>
      </c>
      <c r="B103" t="s">
        <v>439</v>
      </c>
      <c r="C103" s="8" t="s">
        <v>440</v>
      </c>
      <c r="D103" t="s">
        <v>250</v>
      </c>
      <c r="E103" t="s">
        <v>251</v>
      </c>
      <c r="F103" t="str">
        <f>"03.0511"</f>
        <v>03.0511</v>
      </c>
      <c r="G103" s="8" t="s">
        <v>440</v>
      </c>
    </row>
    <row r="104" spans="1:7" x14ac:dyDescent="0.35">
      <c r="A104" t="str">
        <f>"03.0599"</f>
        <v>03.0599</v>
      </c>
      <c r="B104" t="s">
        <v>441</v>
      </c>
      <c r="C104" s="8" t="s">
        <v>442</v>
      </c>
      <c r="D104" t="s">
        <v>250</v>
      </c>
      <c r="E104" t="s">
        <v>251</v>
      </c>
      <c r="F104" t="str">
        <f>"03.0599"</f>
        <v>03.0599</v>
      </c>
      <c r="G104" s="8" t="s">
        <v>442</v>
      </c>
    </row>
    <row r="105" spans="1:7" ht="29" x14ac:dyDescent="0.35">
      <c r="A105" t="str">
        <f>"03.0601"</f>
        <v>03.0601</v>
      </c>
      <c r="B105" t="s">
        <v>443</v>
      </c>
      <c r="C105" s="8" t="s">
        <v>444</v>
      </c>
      <c r="D105" t="s">
        <v>250</v>
      </c>
      <c r="E105" t="s">
        <v>251</v>
      </c>
      <c r="F105" t="str">
        <f>"03.0601"</f>
        <v>03.0601</v>
      </c>
      <c r="G105" s="8" t="s">
        <v>444</v>
      </c>
    </row>
    <row r="106" spans="1:7" ht="29" x14ac:dyDescent="0.35">
      <c r="A106" t="str">
        <f>"03.9999"</f>
        <v>03.9999</v>
      </c>
      <c r="B106" t="s">
        <v>445</v>
      </c>
      <c r="C106" s="8" t="s">
        <v>446</v>
      </c>
      <c r="D106" t="s">
        <v>250</v>
      </c>
      <c r="E106" t="s">
        <v>251</v>
      </c>
      <c r="F106" t="str">
        <f>"03.9999"</f>
        <v>03.9999</v>
      </c>
      <c r="G106" s="8" t="s">
        <v>446</v>
      </c>
    </row>
    <row r="107" spans="1:7" x14ac:dyDescent="0.35">
      <c r="D107" t="s">
        <v>275</v>
      </c>
      <c r="E107" t="s">
        <v>251</v>
      </c>
      <c r="F107" t="str">
        <f>"04.0200"</f>
        <v>04.0200</v>
      </c>
      <c r="G107" s="8" t="s">
        <v>447</v>
      </c>
    </row>
    <row r="108" spans="1:7" x14ac:dyDescent="0.35">
      <c r="A108" t="str">
        <f>"04.0201"</f>
        <v>04.0201</v>
      </c>
      <c r="B108" t="s">
        <v>448</v>
      </c>
      <c r="C108" s="8" t="s">
        <v>449</v>
      </c>
      <c r="D108" t="s">
        <v>250</v>
      </c>
      <c r="E108" t="s">
        <v>251</v>
      </c>
      <c r="F108" t="str">
        <f>"04.0201"</f>
        <v>04.0201</v>
      </c>
      <c r="G108" s="8" t="s">
        <v>449</v>
      </c>
    </row>
    <row r="109" spans="1:7" x14ac:dyDescent="0.35">
      <c r="D109" t="s">
        <v>275</v>
      </c>
      <c r="E109" t="s">
        <v>251</v>
      </c>
      <c r="F109" t="str">
        <f>"04.0202"</f>
        <v>04.0202</v>
      </c>
      <c r="G109" s="8" t="s">
        <v>450</v>
      </c>
    </row>
    <row r="110" spans="1:7" x14ac:dyDescent="0.35">
      <c r="D110" t="s">
        <v>275</v>
      </c>
      <c r="E110" t="s">
        <v>251</v>
      </c>
      <c r="F110" t="str">
        <f>"04.0299"</f>
        <v>04.0299</v>
      </c>
      <c r="G110" s="8" t="s">
        <v>451</v>
      </c>
    </row>
    <row r="111" spans="1:7" ht="29" x14ac:dyDescent="0.35">
      <c r="A111" t="str">
        <f>"04.0301"</f>
        <v>04.0301</v>
      </c>
      <c r="B111" t="s">
        <v>452</v>
      </c>
      <c r="C111" s="8" t="s">
        <v>453</v>
      </c>
      <c r="D111" t="s">
        <v>250</v>
      </c>
      <c r="E111" t="s">
        <v>251</v>
      </c>
      <c r="F111" t="str">
        <f>"04.0301"</f>
        <v>04.0301</v>
      </c>
      <c r="G111" s="8" t="s">
        <v>454</v>
      </c>
    </row>
    <row r="112" spans="1:7" x14ac:dyDescent="0.35">
      <c r="A112" t="str">
        <f>"04.0401"</f>
        <v>04.0401</v>
      </c>
      <c r="B112" t="s">
        <v>455</v>
      </c>
      <c r="C112" s="8" t="s">
        <v>456</v>
      </c>
      <c r="D112" t="s">
        <v>250</v>
      </c>
      <c r="E112" t="s">
        <v>251</v>
      </c>
      <c r="F112" t="str">
        <f>"04.0401"</f>
        <v>04.0401</v>
      </c>
      <c r="G112" s="8" t="s">
        <v>456</v>
      </c>
    </row>
    <row r="113" spans="1:7" x14ac:dyDescent="0.35">
      <c r="D113" t="s">
        <v>275</v>
      </c>
      <c r="E113" t="s">
        <v>251</v>
      </c>
      <c r="F113" t="str">
        <f>"04.0402"</f>
        <v>04.0402</v>
      </c>
      <c r="G113" s="8" t="s">
        <v>457</v>
      </c>
    </row>
    <row r="114" spans="1:7" x14ac:dyDescent="0.35">
      <c r="D114" t="s">
        <v>275</v>
      </c>
      <c r="E114" t="s">
        <v>251</v>
      </c>
      <c r="F114" t="str">
        <f>"04.0403"</f>
        <v>04.0403</v>
      </c>
      <c r="G114" s="8" t="s">
        <v>458</v>
      </c>
    </row>
    <row r="115" spans="1:7" x14ac:dyDescent="0.35">
      <c r="D115" t="s">
        <v>275</v>
      </c>
      <c r="E115" t="s">
        <v>251</v>
      </c>
      <c r="F115" t="str">
        <f>"04.0499"</f>
        <v>04.0499</v>
      </c>
      <c r="G115" s="8" t="s">
        <v>459</v>
      </c>
    </row>
    <row r="116" spans="1:7" x14ac:dyDescent="0.35">
      <c r="A116" t="str">
        <f>"04.0501"</f>
        <v>04.0501</v>
      </c>
      <c r="B116" t="s">
        <v>460</v>
      </c>
      <c r="C116" s="8" t="s">
        <v>461</v>
      </c>
      <c r="D116" t="s">
        <v>250</v>
      </c>
      <c r="E116" t="s">
        <v>251</v>
      </c>
      <c r="F116" t="str">
        <f>"04.0501"</f>
        <v>04.0501</v>
      </c>
      <c r="G116" s="8" t="s">
        <v>461</v>
      </c>
    </row>
    <row r="117" spans="1:7" x14ac:dyDescent="0.35">
      <c r="A117" t="str">
        <f>"04.0601"</f>
        <v>04.0601</v>
      </c>
      <c r="B117" t="s">
        <v>462</v>
      </c>
      <c r="C117" s="8" t="s">
        <v>463</v>
      </c>
      <c r="D117" t="s">
        <v>250</v>
      </c>
      <c r="E117" t="s">
        <v>251</v>
      </c>
      <c r="F117" t="str">
        <f>"04.0601"</f>
        <v>04.0601</v>
      </c>
      <c r="G117" s="8" t="s">
        <v>463</v>
      </c>
    </row>
    <row r="118" spans="1:7" ht="29" x14ac:dyDescent="0.35">
      <c r="A118" t="str">
        <f>"04.0801"</f>
        <v>04.0801</v>
      </c>
      <c r="B118" t="s">
        <v>464</v>
      </c>
      <c r="C118" s="8" t="s">
        <v>465</v>
      </c>
      <c r="D118" t="s">
        <v>250</v>
      </c>
      <c r="E118" t="s">
        <v>251</v>
      </c>
      <c r="F118" t="str">
        <f>"04.0801"</f>
        <v>04.0801</v>
      </c>
      <c r="G118" s="8" t="s">
        <v>465</v>
      </c>
    </row>
    <row r="119" spans="1:7" x14ac:dyDescent="0.35">
      <c r="D119" t="s">
        <v>275</v>
      </c>
      <c r="E119" t="s">
        <v>251</v>
      </c>
      <c r="F119" t="str">
        <f>"04.0802"</f>
        <v>04.0802</v>
      </c>
      <c r="G119" s="8" t="s">
        <v>466</v>
      </c>
    </row>
    <row r="120" spans="1:7" x14ac:dyDescent="0.35">
      <c r="D120" t="s">
        <v>275</v>
      </c>
      <c r="E120" t="s">
        <v>251</v>
      </c>
      <c r="F120" t="str">
        <f>"04.0803"</f>
        <v>04.0803</v>
      </c>
      <c r="G120" s="8" t="s">
        <v>467</v>
      </c>
    </row>
    <row r="121" spans="1:7" ht="29" x14ac:dyDescent="0.35">
      <c r="D121" t="s">
        <v>275</v>
      </c>
      <c r="E121" t="s">
        <v>251</v>
      </c>
      <c r="F121" t="str">
        <f>"04.0899"</f>
        <v>04.0899</v>
      </c>
      <c r="G121" s="8" t="s">
        <v>468</v>
      </c>
    </row>
    <row r="122" spans="1:7" x14ac:dyDescent="0.35">
      <c r="A122" t="str">
        <f>"04.0901"</f>
        <v>04.0901</v>
      </c>
      <c r="B122" t="s">
        <v>469</v>
      </c>
      <c r="C122" s="8" t="s">
        <v>470</v>
      </c>
      <c r="D122" t="s">
        <v>250</v>
      </c>
      <c r="E122" t="s">
        <v>251</v>
      </c>
      <c r="F122" t="str">
        <f>"04.0901"</f>
        <v>04.0901</v>
      </c>
      <c r="G122" s="8" t="s">
        <v>470</v>
      </c>
    </row>
    <row r="123" spans="1:7" ht="29" x14ac:dyDescent="0.35">
      <c r="A123" t="str">
        <f>"04.0902"</f>
        <v>04.0902</v>
      </c>
      <c r="B123" t="s">
        <v>471</v>
      </c>
      <c r="C123" s="8" t="s">
        <v>472</v>
      </c>
      <c r="D123" t="s">
        <v>250</v>
      </c>
      <c r="E123" t="s">
        <v>251</v>
      </c>
      <c r="F123" t="str">
        <f>"04.0902"</f>
        <v>04.0902</v>
      </c>
      <c r="G123" s="8" t="s">
        <v>472</v>
      </c>
    </row>
    <row r="124" spans="1:7" ht="29" x14ac:dyDescent="0.35">
      <c r="A124" t="str">
        <f>"04.0999"</f>
        <v>04.0999</v>
      </c>
      <c r="B124" t="s">
        <v>473</v>
      </c>
      <c r="C124" s="8" t="s">
        <v>474</v>
      </c>
      <c r="D124" t="s">
        <v>250</v>
      </c>
      <c r="E124" t="s">
        <v>251</v>
      </c>
      <c r="F124" t="str">
        <f>"04.0999"</f>
        <v>04.0999</v>
      </c>
      <c r="G124" s="8" t="s">
        <v>474</v>
      </c>
    </row>
    <row r="125" spans="1:7" x14ac:dyDescent="0.35">
      <c r="A125" t="str">
        <f>"04.1001"</f>
        <v>04.1001</v>
      </c>
      <c r="B125" t="s">
        <v>475</v>
      </c>
      <c r="C125" s="8" t="s">
        <v>476</v>
      </c>
      <c r="D125" t="s">
        <v>250</v>
      </c>
      <c r="E125" t="s">
        <v>251</v>
      </c>
      <c r="F125" t="str">
        <f>"04.1001"</f>
        <v>04.1001</v>
      </c>
      <c r="G125" s="8" t="s">
        <v>476</v>
      </c>
    </row>
    <row r="126" spans="1:7" x14ac:dyDescent="0.35">
      <c r="A126" t="str">
        <f>"04.9999"</f>
        <v>04.9999</v>
      </c>
      <c r="B126" t="s">
        <v>477</v>
      </c>
      <c r="C126" s="8" t="s">
        <v>478</v>
      </c>
      <c r="D126" t="s">
        <v>250</v>
      </c>
      <c r="E126" t="s">
        <v>251</v>
      </c>
      <c r="F126" t="str">
        <f>"04.9999"</f>
        <v>04.9999</v>
      </c>
      <c r="G126" s="8" t="s">
        <v>478</v>
      </c>
    </row>
    <row r="127" spans="1:7" x14ac:dyDescent="0.35">
      <c r="A127" t="str">
        <f>"05.0101"</f>
        <v>05.0101</v>
      </c>
      <c r="B127" t="s">
        <v>479</v>
      </c>
      <c r="C127" s="8" t="s">
        <v>480</v>
      </c>
      <c r="D127" t="s">
        <v>250</v>
      </c>
      <c r="E127" t="s">
        <v>251</v>
      </c>
      <c r="F127" t="str">
        <f>"05.0101"</f>
        <v>05.0101</v>
      </c>
      <c r="G127" s="8" t="s">
        <v>480</v>
      </c>
    </row>
    <row r="128" spans="1:7" ht="29" x14ac:dyDescent="0.35">
      <c r="A128" t="str">
        <f>"05.0102"</f>
        <v>05.0102</v>
      </c>
      <c r="B128" t="s">
        <v>481</v>
      </c>
      <c r="C128" s="8" t="s">
        <v>482</v>
      </c>
      <c r="D128" t="s">
        <v>250</v>
      </c>
      <c r="E128" t="s">
        <v>251</v>
      </c>
      <c r="F128" t="str">
        <f>"05.0102"</f>
        <v>05.0102</v>
      </c>
      <c r="G128" s="8" t="s">
        <v>482</v>
      </c>
    </row>
    <row r="129" spans="1:7" x14ac:dyDescent="0.35">
      <c r="A129" t="str">
        <f>"05.0103"</f>
        <v>05.0103</v>
      </c>
      <c r="B129" t="s">
        <v>483</v>
      </c>
      <c r="C129" s="8" t="s">
        <v>484</v>
      </c>
      <c r="D129" t="s">
        <v>250</v>
      </c>
      <c r="E129" t="s">
        <v>251</v>
      </c>
      <c r="F129" t="str">
        <f>"05.0103"</f>
        <v>05.0103</v>
      </c>
      <c r="G129" s="8" t="s">
        <v>484</v>
      </c>
    </row>
    <row r="130" spans="1:7" x14ac:dyDescent="0.35">
      <c r="A130" t="str">
        <f>"05.0104"</f>
        <v>05.0104</v>
      </c>
      <c r="B130" t="s">
        <v>485</v>
      </c>
      <c r="C130" s="8" t="s">
        <v>486</v>
      </c>
      <c r="D130" t="s">
        <v>250</v>
      </c>
      <c r="E130" t="s">
        <v>251</v>
      </c>
      <c r="F130" t="str">
        <f>"05.0104"</f>
        <v>05.0104</v>
      </c>
      <c r="G130" s="8" t="s">
        <v>486</v>
      </c>
    </row>
    <row r="131" spans="1:7" ht="29" x14ac:dyDescent="0.35">
      <c r="A131" t="str">
        <f>"05.0105"</f>
        <v>05.0105</v>
      </c>
      <c r="B131" t="s">
        <v>487</v>
      </c>
      <c r="C131" s="8" t="s">
        <v>488</v>
      </c>
      <c r="D131" t="s">
        <v>250</v>
      </c>
      <c r="E131" t="s">
        <v>251</v>
      </c>
      <c r="F131" t="str">
        <f>"05.0105"</f>
        <v>05.0105</v>
      </c>
      <c r="G131" s="8" t="s">
        <v>488</v>
      </c>
    </row>
    <row r="132" spans="1:7" x14ac:dyDescent="0.35">
      <c r="A132" t="str">
        <f>"05.0106"</f>
        <v>05.0106</v>
      </c>
      <c r="B132" t="s">
        <v>489</v>
      </c>
      <c r="C132" s="8" t="s">
        <v>490</v>
      </c>
      <c r="D132" t="s">
        <v>250</v>
      </c>
      <c r="E132" t="s">
        <v>251</v>
      </c>
      <c r="F132" t="str">
        <f>"05.0106"</f>
        <v>05.0106</v>
      </c>
      <c r="G132" s="8" t="s">
        <v>490</v>
      </c>
    </row>
    <row r="133" spans="1:7" x14ac:dyDescent="0.35">
      <c r="A133" t="str">
        <f>"05.0107"</f>
        <v>05.0107</v>
      </c>
      <c r="B133" t="s">
        <v>491</v>
      </c>
      <c r="C133" s="8" t="s">
        <v>492</v>
      </c>
      <c r="D133" t="s">
        <v>250</v>
      </c>
      <c r="E133" t="s">
        <v>251</v>
      </c>
      <c r="F133" t="str">
        <f>"05.0107"</f>
        <v>05.0107</v>
      </c>
      <c r="G133" s="8" t="s">
        <v>492</v>
      </c>
    </row>
    <row r="134" spans="1:7" x14ac:dyDescent="0.35">
      <c r="A134" t="str">
        <f>"05.0108"</f>
        <v>05.0108</v>
      </c>
      <c r="B134" t="s">
        <v>493</v>
      </c>
      <c r="C134" s="8" t="s">
        <v>494</v>
      </c>
      <c r="D134" t="s">
        <v>250</v>
      </c>
      <c r="E134" t="s">
        <v>251</v>
      </c>
      <c r="F134" t="str">
        <f>"05.0108"</f>
        <v>05.0108</v>
      </c>
      <c r="G134" s="8" t="s">
        <v>494</v>
      </c>
    </row>
    <row r="135" spans="1:7" x14ac:dyDescent="0.35">
      <c r="A135" t="str">
        <f>"05.0109"</f>
        <v>05.0109</v>
      </c>
      <c r="B135" t="s">
        <v>495</v>
      </c>
      <c r="C135" s="8" t="s">
        <v>496</v>
      </c>
      <c r="D135" t="s">
        <v>250</v>
      </c>
      <c r="E135" t="s">
        <v>251</v>
      </c>
      <c r="F135" t="str">
        <f>"05.0109"</f>
        <v>05.0109</v>
      </c>
      <c r="G135" s="8" t="s">
        <v>496</v>
      </c>
    </row>
    <row r="136" spans="1:7" x14ac:dyDescent="0.35">
      <c r="A136" t="str">
        <f>"05.0110"</f>
        <v>05.0110</v>
      </c>
      <c r="B136" t="s">
        <v>497</v>
      </c>
      <c r="C136" s="8" t="s">
        <v>498</v>
      </c>
      <c r="D136" t="s">
        <v>250</v>
      </c>
      <c r="E136" t="s">
        <v>251</v>
      </c>
      <c r="F136" t="str">
        <f>"05.0110"</f>
        <v>05.0110</v>
      </c>
      <c r="G136" s="8" t="s">
        <v>498</v>
      </c>
    </row>
    <row r="137" spans="1:7" x14ac:dyDescent="0.35">
      <c r="A137" t="str">
        <f>"05.0111"</f>
        <v>05.0111</v>
      </c>
      <c r="B137" t="s">
        <v>499</v>
      </c>
      <c r="C137" s="8" t="s">
        <v>500</v>
      </c>
      <c r="D137" t="s">
        <v>250</v>
      </c>
      <c r="E137" t="s">
        <v>264</v>
      </c>
      <c r="F137" t="str">
        <f>"05.0111"</f>
        <v>05.0111</v>
      </c>
      <c r="G137" s="8" t="s">
        <v>500</v>
      </c>
    </row>
    <row r="138" spans="1:7" x14ac:dyDescent="0.35">
      <c r="A138" t="str">
        <f>"05.0112"</f>
        <v>05.0112</v>
      </c>
      <c r="B138" t="s">
        <v>501</v>
      </c>
      <c r="C138" s="8" t="s">
        <v>502</v>
      </c>
      <c r="D138" t="s">
        <v>250</v>
      </c>
      <c r="E138" t="s">
        <v>251</v>
      </c>
      <c r="F138" t="str">
        <f>"05.0112"</f>
        <v>05.0112</v>
      </c>
      <c r="G138" s="8" t="s">
        <v>502</v>
      </c>
    </row>
    <row r="139" spans="1:7" x14ac:dyDescent="0.35">
      <c r="A139" t="str">
        <f>"05.0113"</f>
        <v>05.0113</v>
      </c>
      <c r="B139" t="s">
        <v>503</v>
      </c>
      <c r="C139" s="8" t="s">
        <v>504</v>
      </c>
      <c r="D139" t="s">
        <v>250</v>
      </c>
      <c r="E139" t="s">
        <v>251</v>
      </c>
      <c r="F139" t="str">
        <f>"05.0113"</f>
        <v>05.0113</v>
      </c>
      <c r="G139" s="8" t="s">
        <v>504</v>
      </c>
    </row>
    <row r="140" spans="1:7" x14ac:dyDescent="0.35">
      <c r="A140" t="str">
        <f>"05.0114"</f>
        <v>05.0114</v>
      </c>
      <c r="B140" t="s">
        <v>505</v>
      </c>
      <c r="C140" s="8" t="s">
        <v>506</v>
      </c>
      <c r="D140" t="s">
        <v>250</v>
      </c>
      <c r="E140" t="s">
        <v>251</v>
      </c>
      <c r="F140" t="str">
        <f>"05.0114"</f>
        <v>05.0114</v>
      </c>
      <c r="G140" s="8" t="s">
        <v>506</v>
      </c>
    </row>
    <row r="141" spans="1:7" x14ac:dyDescent="0.35">
      <c r="A141" t="str">
        <f>"05.0115"</f>
        <v>05.0115</v>
      </c>
      <c r="B141" t="s">
        <v>507</v>
      </c>
      <c r="C141" s="8" t="s">
        <v>508</v>
      </c>
      <c r="D141" t="s">
        <v>250</v>
      </c>
      <c r="E141" t="s">
        <v>251</v>
      </c>
      <c r="F141" t="str">
        <f>"05.0115"</f>
        <v>05.0115</v>
      </c>
      <c r="G141" s="8" t="s">
        <v>508</v>
      </c>
    </row>
    <row r="142" spans="1:7" x14ac:dyDescent="0.35">
      <c r="A142" t="str">
        <f>"05.0116"</f>
        <v>05.0116</v>
      </c>
      <c r="B142" t="s">
        <v>509</v>
      </c>
      <c r="C142" s="8" t="s">
        <v>510</v>
      </c>
      <c r="D142" t="s">
        <v>250</v>
      </c>
      <c r="E142" t="s">
        <v>251</v>
      </c>
      <c r="F142" t="str">
        <f>"05.0116"</f>
        <v>05.0116</v>
      </c>
      <c r="G142" s="8" t="s">
        <v>510</v>
      </c>
    </row>
    <row r="143" spans="1:7" x14ac:dyDescent="0.35">
      <c r="A143" t="str">
        <f>"05.0117"</f>
        <v>05.0117</v>
      </c>
      <c r="B143" t="s">
        <v>511</v>
      </c>
      <c r="C143" s="8" t="s">
        <v>512</v>
      </c>
      <c r="D143" t="s">
        <v>250</v>
      </c>
      <c r="E143" t="s">
        <v>251</v>
      </c>
      <c r="F143" t="str">
        <f>"05.0117"</f>
        <v>05.0117</v>
      </c>
      <c r="G143" s="8" t="s">
        <v>512</v>
      </c>
    </row>
    <row r="144" spans="1:7" x14ac:dyDescent="0.35">
      <c r="A144" t="str">
        <f>"05.0118"</f>
        <v>05.0118</v>
      </c>
      <c r="B144" t="s">
        <v>513</v>
      </c>
      <c r="C144" s="8" t="s">
        <v>514</v>
      </c>
      <c r="D144" t="s">
        <v>250</v>
      </c>
      <c r="E144" t="s">
        <v>251</v>
      </c>
      <c r="F144" t="str">
        <f>"05.0118"</f>
        <v>05.0118</v>
      </c>
      <c r="G144" s="8" t="s">
        <v>514</v>
      </c>
    </row>
    <row r="145" spans="1:7" x14ac:dyDescent="0.35">
      <c r="A145" t="str">
        <f>"05.0119"</f>
        <v>05.0119</v>
      </c>
      <c r="B145" t="s">
        <v>515</v>
      </c>
      <c r="C145" s="8" t="s">
        <v>516</v>
      </c>
      <c r="D145" t="s">
        <v>250</v>
      </c>
      <c r="E145" t="s">
        <v>251</v>
      </c>
      <c r="F145" t="str">
        <f>"05.0119"</f>
        <v>05.0119</v>
      </c>
      <c r="G145" s="8" t="s">
        <v>516</v>
      </c>
    </row>
    <row r="146" spans="1:7" x14ac:dyDescent="0.35">
      <c r="A146" t="str">
        <f>"05.0120"</f>
        <v>05.0120</v>
      </c>
      <c r="B146" t="s">
        <v>517</v>
      </c>
      <c r="C146" s="8" t="s">
        <v>518</v>
      </c>
      <c r="D146" t="s">
        <v>250</v>
      </c>
      <c r="E146" t="s">
        <v>251</v>
      </c>
      <c r="F146" t="str">
        <f>"05.0120"</f>
        <v>05.0120</v>
      </c>
      <c r="G146" s="8" t="s">
        <v>518</v>
      </c>
    </row>
    <row r="147" spans="1:7" x14ac:dyDescent="0.35">
      <c r="A147" t="str">
        <f>"05.0121"</f>
        <v>05.0121</v>
      </c>
      <c r="B147" t="s">
        <v>519</v>
      </c>
      <c r="C147" s="8" t="s">
        <v>520</v>
      </c>
      <c r="D147" t="s">
        <v>250</v>
      </c>
      <c r="E147" t="s">
        <v>251</v>
      </c>
      <c r="F147" t="str">
        <f>"05.0121"</f>
        <v>05.0121</v>
      </c>
      <c r="G147" s="8" t="s">
        <v>520</v>
      </c>
    </row>
    <row r="148" spans="1:7" x14ac:dyDescent="0.35">
      <c r="A148" t="str">
        <f>"05.0122"</f>
        <v>05.0122</v>
      </c>
      <c r="B148" t="s">
        <v>521</v>
      </c>
      <c r="C148" s="8" t="s">
        <v>522</v>
      </c>
      <c r="D148" t="s">
        <v>250</v>
      </c>
      <c r="E148" t="s">
        <v>264</v>
      </c>
      <c r="F148" t="str">
        <f>"05.0122"</f>
        <v>05.0122</v>
      </c>
      <c r="G148" s="8" t="s">
        <v>523</v>
      </c>
    </row>
    <row r="149" spans="1:7" x14ac:dyDescent="0.35">
      <c r="A149" t="str">
        <f>"05.0123"</f>
        <v>05.0123</v>
      </c>
      <c r="B149" t="s">
        <v>524</v>
      </c>
      <c r="C149" s="8" t="s">
        <v>525</v>
      </c>
      <c r="D149" t="s">
        <v>250</v>
      </c>
      <c r="E149" t="s">
        <v>251</v>
      </c>
      <c r="F149" t="str">
        <f>"05.0123"</f>
        <v>05.0123</v>
      </c>
      <c r="G149" s="8" t="s">
        <v>525</v>
      </c>
    </row>
    <row r="150" spans="1:7" x14ac:dyDescent="0.35">
      <c r="A150" t="str">
        <f>"05.0124"</f>
        <v>05.0124</v>
      </c>
      <c r="B150" t="s">
        <v>526</v>
      </c>
      <c r="C150" s="8" t="s">
        <v>527</v>
      </c>
      <c r="D150" t="s">
        <v>250</v>
      </c>
      <c r="E150" t="s">
        <v>251</v>
      </c>
      <c r="F150" t="str">
        <f>"05.0124"</f>
        <v>05.0124</v>
      </c>
      <c r="G150" s="8" t="s">
        <v>527</v>
      </c>
    </row>
    <row r="151" spans="1:7" x14ac:dyDescent="0.35">
      <c r="A151" t="str">
        <f>"05.0125"</f>
        <v>05.0125</v>
      </c>
      <c r="B151" t="s">
        <v>528</v>
      </c>
      <c r="C151" s="8" t="s">
        <v>529</v>
      </c>
      <c r="D151" t="s">
        <v>250</v>
      </c>
      <c r="E151" t="s">
        <v>251</v>
      </c>
      <c r="F151" t="str">
        <f>"05.0125"</f>
        <v>05.0125</v>
      </c>
      <c r="G151" s="8" t="s">
        <v>529</v>
      </c>
    </row>
    <row r="152" spans="1:7" x14ac:dyDescent="0.35">
      <c r="A152" t="str">
        <f>"05.0126"</f>
        <v>05.0126</v>
      </c>
      <c r="B152" t="s">
        <v>530</v>
      </c>
      <c r="C152" s="8" t="s">
        <v>531</v>
      </c>
      <c r="D152" t="s">
        <v>250</v>
      </c>
      <c r="E152" t="s">
        <v>251</v>
      </c>
      <c r="F152" t="str">
        <f>"05.0126"</f>
        <v>05.0126</v>
      </c>
      <c r="G152" s="8" t="s">
        <v>531</v>
      </c>
    </row>
    <row r="153" spans="1:7" x14ac:dyDescent="0.35">
      <c r="A153" t="str">
        <f>"05.0127"</f>
        <v>05.0127</v>
      </c>
      <c r="B153" t="s">
        <v>532</v>
      </c>
      <c r="C153" s="8" t="s">
        <v>533</v>
      </c>
      <c r="D153" t="s">
        <v>250</v>
      </c>
      <c r="E153" t="s">
        <v>251</v>
      </c>
      <c r="F153" t="str">
        <f>"05.0127"</f>
        <v>05.0127</v>
      </c>
      <c r="G153" s="8" t="s">
        <v>533</v>
      </c>
    </row>
    <row r="154" spans="1:7" x14ac:dyDescent="0.35">
      <c r="A154" t="str">
        <f>"05.0128"</f>
        <v>05.0128</v>
      </c>
      <c r="B154" t="s">
        <v>534</v>
      </c>
      <c r="C154" s="8" t="s">
        <v>535</v>
      </c>
      <c r="D154" t="s">
        <v>250</v>
      </c>
      <c r="E154" t="s">
        <v>251</v>
      </c>
      <c r="F154" t="str">
        <f>"05.0128"</f>
        <v>05.0128</v>
      </c>
      <c r="G154" s="8" t="s">
        <v>535</v>
      </c>
    </row>
    <row r="155" spans="1:7" x14ac:dyDescent="0.35">
      <c r="A155" t="str">
        <f>"05.0129"</f>
        <v>05.0129</v>
      </c>
      <c r="B155" t="s">
        <v>536</v>
      </c>
      <c r="C155" s="8" t="s">
        <v>537</v>
      </c>
      <c r="D155" t="s">
        <v>250</v>
      </c>
      <c r="E155" t="s">
        <v>251</v>
      </c>
      <c r="F155" t="str">
        <f>"05.0129"</f>
        <v>05.0129</v>
      </c>
      <c r="G155" s="8" t="s">
        <v>537</v>
      </c>
    </row>
    <row r="156" spans="1:7" x14ac:dyDescent="0.35">
      <c r="A156" t="str">
        <f>"05.0130"</f>
        <v>05.0130</v>
      </c>
      <c r="B156" t="s">
        <v>538</v>
      </c>
      <c r="C156" s="8" t="s">
        <v>539</v>
      </c>
      <c r="D156" t="s">
        <v>250</v>
      </c>
      <c r="E156" t="s">
        <v>251</v>
      </c>
      <c r="F156" t="str">
        <f>"05.0130"</f>
        <v>05.0130</v>
      </c>
      <c r="G156" s="8" t="s">
        <v>539</v>
      </c>
    </row>
    <row r="157" spans="1:7" x14ac:dyDescent="0.35">
      <c r="A157" t="str">
        <f>"05.0131"</f>
        <v>05.0131</v>
      </c>
      <c r="B157" t="s">
        <v>540</v>
      </c>
      <c r="C157" s="8" t="s">
        <v>541</v>
      </c>
      <c r="D157" t="s">
        <v>250</v>
      </c>
      <c r="E157" t="s">
        <v>251</v>
      </c>
      <c r="F157" t="str">
        <f>"05.0131"</f>
        <v>05.0131</v>
      </c>
      <c r="G157" s="8" t="s">
        <v>541</v>
      </c>
    </row>
    <row r="158" spans="1:7" x14ac:dyDescent="0.35">
      <c r="A158" t="str">
        <f>"05.0132"</f>
        <v>05.0132</v>
      </c>
      <c r="B158" t="s">
        <v>542</v>
      </c>
      <c r="C158" s="8" t="s">
        <v>543</v>
      </c>
      <c r="D158" t="s">
        <v>250</v>
      </c>
      <c r="E158" t="s">
        <v>251</v>
      </c>
      <c r="F158" t="str">
        <f>"05.0132"</f>
        <v>05.0132</v>
      </c>
      <c r="G158" s="8" t="s">
        <v>543</v>
      </c>
    </row>
    <row r="159" spans="1:7" x14ac:dyDescent="0.35">
      <c r="A159" t="str">
        <f>"05.0133"</f>
        <v>05.0133</v>
      </c>
      <c r="B159" t="s">
        <v>544</v>
      </c>
      <c r="C159" s="8" t="s">
        <v>545</v>
      </c>
      <c r="D159" t="s">
        <v>250</v>
      </c>
      <c r="E159" t="s">
        <v>251</v>
      </c>
      <c r="F159" t="str">
        <f>"05.0133"</f>
        <v>05.0133</v>
      </c>
      <c r="G159" s="8" t="s">
        <v>545</v>
      </c>
    </row>
    <row r="160" spans="1:7" x14ac:dyDescent="0.35">
      <c r="A160" t="str">
        <f>"05.0134"</f>
        <v>05.0134</v>
      </c>
      <c r="B160" t="s">
        <v>546</v>
      </c>
      <c r="C160" s="8" t="s">
        <v>547</v>
      </c>
      <c r="D160" t="s">
        <v>250</v>
      </c>
      <c r="E160" t="s">
        <v>251</v>
      </c>
      <c r="F160" t="str">
        <f>"05.0134"</f>
        <v>05.0134</v>
      </c>
      <c r="G160" s="8" t="s">
        <v>547</v>
      </c>
    </row>
    <row r="161" spans="1:7" x14ac:dyDescent="0.35">
      <c r="D161" t="s">
        <v>275</v>
      </c>
      <c r="E161" t="s">
        <v>251</v>
      </c>
      <c r="F161" t="str">
        <f>"05.0135"</f>
        <v>05.0135</v>
      </c>
      <c r="G161" s="8" t="s">
        <v>548</v>
      </c>
    </row>
    <row r="162" spans="1:7" x14ac:dyDescent="0.35">
      <c r="D162" t="s">
        <v>275</v>
      </c>
      <c r="E162" t="s">
        <v>251</v>
      </c>
      <c r="F162" t="str">
        <f>"05.0136"</f>
        <v>05.0136</v>
      </c>
      <c r="G162" s="8" t="s">
        <v>549</v>
      </c>
    </row>
    <row r="163" spans="1:7" x14ac:dyDescent="0.35">
      <c r="A163" t="str">
        <f>"05.0199"</f>
        <v>05.0199</v>
      </c>
      <c r="B163" t="s">
        <v>550</v>
      </c>
      <c r="C163" s="8" t="s">
        <v>551</v>
      </c>
      <c r="D163" t="s">
        <v>250</v>
      </c>
      <c r="E163" t="s">
        <v>251</v>
      </c>
      <c r="F163" t="str">
        <f>"05.0199"</f>
        <v>05.0199</v>
      </c>
      <c r="G163" s="8" t="s">
        <v>551</v>
      </c>
    </row>
    <row r="164" spans="1:7" x14ac:dyDescent="0.35">
      <c r="A164" t="str">
        <f>"05.0200"</f>
        <v>05.0200</v>
      </c>
      <c r="B164" t="s">
        <v>552</v>
      </c>
      <c r="C164" s="8" t="s">
        <v>553</v>
      </c>
      <c r="D164" t="s">
        <v>250</v>
      </c>
      <c r="E164" t="s">
        <v>251</v>
      </c>
      <c r="F164" t="str">
        <f>"05.0200"</f>
        <v>05.0200</v>
      </c>
      <c r="G164" s="8" t="s">
        <v>553</v>
      </c>
    </row>
    <row r="165" spans="1:7" x14ac:dyDescent="0.35">
      <c r="A165" t="str">
        <f>"05.0201"</f>
        <v>05.0201</v>
      </c>
      <c r="B165" t="s">
        <v>554</v>
      </c>
      <c r="C165" s="8" t="s">
        <v>555</v>
      </c>
      <c r="D165" t="s">
        <v>250</v>
      </c>
      <c r="E165" t="s">
        <v>251</v>
      </c>
      <c r="F165" t="str">
        <f>"05.0201"</f>
        <v>05.0201</v>
      </c>
      <c r="G165" s="8" t="s">
        <v>555</v>
      </c>
    </row>
    <row r="166" spans="1:7" x14ac:dyDescent="0.35">
      <c r="A166" t="str">
        <f>"05.0202"</f>
        <v>05.0202</v>
      </c>
      <c r="B166" t="s">
        <v>556</v>
      </c>
      <c r="C166" s="8" t="s">
        <v>557</v>
      </c>
      <c r="D166" t="s">
        <v>250</v>
      </c>
      <c r="E166" t="s">
        <v>251</v>
      </c>
      <c r="F166" t="str">
        <f>"05.0202"</f>
        <v>05.0202</v>
      </c>
      <c r="G166" s="8" t="s">
        <v>557</v>
      </c>
    </row>
    <row r="167" spans="1:7" ht="29" x14ac:dyDescent="0.35">
      <c r="A167" t="str">
        <f>"05.0203"</f>
        <v>05.0203</v>
      </c>
      <c r="B167" t="s">
        <v>558</v>
      </c>
      <c r="C167" s="8" t="s">
        <v>559</v>
      </c>
      <c r="D167" t="s">
        <v>250</v>
      </c>
      <c r="E167" t="s">
        <v>251</v>
      </c>
      <c r="F167" t="str">
        <f>"05.0203"</f>
        <v>05.0203</v>
      </c>
      <c r="G167" s="8" t="s">
        <v>559</v>
      </c>
    </row>
    <row r="168" spans="1:7" x14ac:dyDescent="0.35">
      <c r="A168" t="str">
        <f>"05.0206"</f>
        <v>05.0206</v>
      </c>
      <c r="B168" t="s">
        <v>560</v>
      </c>
      <c r="C168" s="8" t="s">
        <v>561</v>
      </c>
      <c r="D168" t="s">
        <v>250</v>
      </c>
      <c r="E168" t="s">
        <v>251</v>
      </c>
      <c r="F168" t="str">
        <f>"05.0206"</f>
        <v>05.0206</v>
      </c>
      <c r="G168" s="8" t="s">
        <v>561</v>
      </c>
    </row>
    <row r="169" spans="1:7" x14ac:dyDescent="0.35">
      <c r="A169" t="str">
        <f>"05.0207"</f>
        <v>05.0207</v>
      </c>
      <c r="B169" t="s">
        <v>562</v>
      </c>
      <c r="C169" s="8" t="s">
        <v>563</v>
      </c>
      <c r="D169" t="s">
        <v>250</v>
      </c>
      <c r="E169" t="s">
        <v>251</v>
      </c>
      <c r="F169" t="str">
        <f>"05.0207"</f>
        <v>05.0207</v>
      </c>
      <c r="G169" s="8" t="s">
        <v>563</v>
      </c>
    </row>
    <row r="170" spans="1:7" x14ac:dyDescent="0.35">
      <c r="A170" t="str">
        <f>"05.0208"</f>
        <v>05.0208</v>
      </c>
      <c r="B170" t="s">
        <v>564</v>
      </c>
      <c r="C170" s="8" t="s">
        <v>565</v>
      </c>
      <c r="D170" t="s">
        <v>250</v>
      </c>
      <c r="E170" t="s">
        <v>251</v>
      </c>
      <c r="F170" t="str">
        <f>"05.0208"</f>
        <v>05.0208</v>
      </c>
      <c r="G170" s="8" t="s">
        <v>565</v>
      </c>
    </row>
    <row r="171" spans="1:7" x14ac:dyDescent="0.35">
      <c r="A171" t="str">
        <f>"05.0209"</f>
        <v>05.0209</v>
      </c>
      <c r="B171" t="s">
        <v>566</v>
      </c>
      <c r="C171" s="8" t="s">
        <v>567</v>
      </c>
      <c r="D171" t="s">
        <v>250</v>
      </c>
      <c r="E171" t="s">
        <v>251</v>
      </c>
      <c r="F171" t="str">
        <f>"05.0209"</f>
        <v>05.0209</v>
      </c>
      <c r="G171" s="8" t="s">
        <v>567</v>
      </c>
    </row>
    <row r="172" spans="1:7" x14ac:dyDescent="0.35">
      <c r="A172" t="str">
        <f>"05.0210"</f>
        <v>05.0210</v>
      </c>
      <c r="B172" t="s">
        <v>568</v>
      </c>
      <c r="C172" s="8" t="s">
        <v>569</v>
      </c>
      <c r="D172" t="s">
        <v>250</v>
      </c>
      <c r="E172" t="s">
        <v>251</v>
      </c>
      <c r="F172" t="str">
        <f>"05.0210"</f>
        <v>05.0210</v>
      </c>
      <c r="G172" s="8" t="s">
        <v>569</v>
      </c>
    </row>
    <row r="173" spans="1:7" x14ac:dyDescent="0.35">
      <c r="A173" t="str">
        <f>"05.0211"</f>
        <v>05.0211</v>
      </c>
      <c r="B173" t="s">
        <v>570</v>
      </c>
      <c r="C173" s="8" t="s">
        <v>571</v>
      </c>
      <c r="D173" t="s">
        <v>250</v>
      </c>
      <c r="E173" t="s">
        <v>251</v>
      </c>
      <c r="F173" t="str">
        <f>"05.0211"</f>
        <v>05.0211</v>
      </c>
      <c r="G173" s="8" t="s">
        <v>571</v>
      </c>
    </row>
    <row r="174" spans="1:7" x14ac:dyDescent="0.35">
      <c r="D174" t="s">
        <v>275</v>
      </c>
      <c r="E174" t="s">
        <v>251</v>
      </c>
      <c r="F174" t="str">
        <f>"05.0212"</f>
        <v>05.0212</v>
      </c>
      <c r="G174" s="8" t="s">
        <v>572</v>
      </c>
    </row>
    <row r="175" spans="1:7" ht="29" x14ac:dyDescent="0.35">
      <c r="A175" t="str">
        <f>"05.0299"</f>
        <v>05.0299</v>
      </c>
      <c r="B175" t="s">
        <v>573</v>
      </c>
      <c r="C175" s="8" t="s">
        <v>574</v>
      </c>
      <c r="D175" t="s">
        <v>250</v>
      </c>
      <c r="E175" t="s">
        <v>251</v>
      </c>
      <c r="F175" t="str">
        <f>"05.0299"</f>
        <v>05.0299</v>
      </c>
      <c r="G175" s="8" t="s">
        <v>574</v>
      </c>
    </row>
    <row r="176" spans="1:7" ht="29" x14ac:dyDescent="0.35">
      <c r="D176" t="s">
        <v>275</v>
      </c>
      <c r="E176" t="s">
        <v>251</v>
      </c>
      <c r="F176" t="str">
        <f>"05.9999"</f>
        <v>05.9999</v>
      </c>
      <c r="G176" s="8" t="s">
        <v>575</v>
      </c>
    </row>
    <row r="177" spans="1:7" x14ac:dyDescent="0.35">
      <c r="A177" t="str">
        <f>"09.0100"</f>
        <v>09.0100</v>
      </c>
      <c r="B177" t="s">
        <v>576</v>
      </c>
      <c r="C177" s="8" t="s">
        <v>577</v>
      </c>
      <c r="D177" t="s">
        <v>250</v>
      </c>
      <c r="E177" t="s">
        <v>251</v>
      </c>
      <c r="F177" t="str">
        <f>"09.0100"</f>
        <v>09.0100</v>
      </c>
      <c r="G177" s="8" t="s">
        <v>577</v>
      </c>
    </row>
    <row r="178" spans="1:7" x14ac:dyDescent="0.35">
      <c r="A178" t="str">
        <f>"09.0101"</f>
        <v>09.0101</v>
      </c>
      <c r="B178" t="s">
        <v>578</v>
      </c>
      <c r="C178" s="8" t="s">
        <v>579</v>
      </c>
      <c r="D178" t="s">
        <v>250</v>
      </c>
      <c r="E178" t="s">
        <v>251</v>
      </c>
      <c r="F178" t="str">
        <f>"09.0101"</f>
        <v>09.0101</v>
      </c>
      <c r="G178" s="8" t="s">
        <v>579</v>
      </c>
    </row>
    <row r="179" spans="1:7" x14ac:dyDescent="0.35">
      <c r="A179" t="str">
        <f>"09.0102"</f>
        <v>09.0102</v>
      </c>
      <c r="B179" t="s">
        <v>580</v>
      </c>
      <c r="C179" s="8" t="s">
        <v>581</v>
      </c>
      <c r="D179" t="s">
        <v>250</v>
      </c>
      <c r="E179" t="s">
        <v>251</v>
      </c>
      <c r="F179" t="str">
        <f>"09.0102"</f>
        <v>09.0102</v>
      </c>
      <c r="G179" s="8" t="s">
        <v>581</v>
      </c>
    </row>
    <row r="180" spans="1:7" x14ac:dyDescent="0.35">
      <c r="A180" t="str">
        <f>"09.0199"</f>
        <v>09.0199</v>
      </c>
      <c r="B180" t="s">
        <v>582</v>
      </c>
      <c r="C180" s="8" t="s">
        <v>583</v>
      </c>
      <c r="D180" t="s">
        <v>250</v>
      </c>
      <c r="E180" t="s">
        <v>251</v>
      </c>
      <c r="F180" t="str">
        <f>"09.0199"</f>
        <v>09.0199</v>
      </c>
      <c r="G180" s="8" t="s">
        <v>583</v>
      </c>
    </row>
    <row r="181" spans="1:7" x14ac:dyDescent="0.35">
      <c r="A181" t="str">
        <f>"09.0401"</f>
        <v>09.0401</v>
      </c>
      <c r="B181" t="s">
        <v>584</v>
      </c>
      <c r="C181" s="8" t="s">
        <v>585</v>
      </c>
      <c r="D181" t="s">
        <v>250</v>
      </c>
      <c r="E181" t="s">
        <v>251</v>
      </c>
      <c r="F181" t="str">
        <f>"09.0401"</f>
        <v>09.0401</v>
      </c>
      <c r="G181" s="8" t="s">
        <v>585</v>
      </c>
    </row>
    <row r="182" spans="1:7" x14ac:dyDescent="0.35">
      <c r="A182" t="str">
        <f>"09.0402"</f>
        <v>09.0402</v>
      </c>
      <c r="B182" t="s">
        <v>586</v>
      </c>
      <c r="C182" s="8" t="s">
        <v>587</v>
      </c>
      <c r="D182" t="s">
        <v>250</v>
      </c>
      <c r="E182" t="s">
        <v>251</v>
      </c>
      <c r="F182" t="str">
        <f>"09.0402"</f>
        <v>09.0402</v>
      </c>
      <c r="G182" s="8" t="s">
        <v>587</v>
      </c>
    </row>
    <row r="183" spans="1:7" x14ac:dyDescent="0.35">
      <c r="A183" t="str">
        <f>"09.0404"</f>
        <v>09.0404</v>
      </c>
      <c r="B183" t="s">
        <v>588</v>
      </c>
      <c r="C183" s="8" t="s">
        <v>589</v>
      </c>
      <c r="D183" t="s">
        <v>250</v>
      </c>
      <c r="E183" t="s">
        <v>251</v>
      </c>
      <c r="F183" t="str">
        <f>"09.0404"</f>
        <v>09.0404</v>
      </c>
      <c r="G183" s="8" t="s">
        <v>589</v>
      </c>
    </row>
    <row r="184" spans="1:7" x14ac:dyDescent="0.35">
      <c r="D184" t="s">
        <v>275</v>
      </c>
      <c r="E184" t="s">
        <v>251</v>
      </c>
      <c r="F184" t="str">
        <f>"09.0405"</f>
        <v>09.0405</v>
      </c>
      <c r="G184" s="8" t="s">
        <v>590</v>
      </c>
    </row>
    <row r="185" spans="1:7" x14ac:dyDescent="0.35">
      <c r="D185" t="s">
        <v>275</v>
      </c>
      <c r="E185" t="s">
        <v>251</v>
      </c>
      <c r="F185" t="str">
        <f>"09.0406"</f>
        <v>09.0406</v>
      </c>
      <c r="G185" s="8" t="s">
        <v>591</v>
      </c>
    </row>
    <row r="186" spans="1:7" x14ac:dyDescent="0.35">
      <c r="D186" t="s">
        <v>275</v>
      </c>
      <c r="E186" t="s">
        <v>251</v>
      </c>
      <c r="F186" t="str">
        <f>"09.0407"</f>
        <v>09.0407</v>
      </c>
      <c r="G186" s="8" t="s">
        <v>592</v>
      </c>
    </row>
    <row r="187" spans="1:7" x14ac:dyDescent="0.35">
      <c r="A187" t="str">
        <f>"09.0499"</f>
        <v>09.0499</v>
      </c>
      <c r="B187" t="s">
        <v>593</v>
      </c>
      <c r="C187" s="8" t="s">
        <v>594</v>
      </c>
      <c r="D187" t="s">
        <v>250</v>
      </c>
      <c r="E187" t="s">
        <v>251</v>
      </c>
      <c r="F187" t="str">
        <f>"09.0499"</f>
        <v>09.0499</v>
      </c>
      <c r="G187" s="8" t="s">
        <v>594</v>
      </c>
    </row>
    <row r="188" spans="1:7" x14ac:dyDescent="0.35">
      <c r="A188" t="str">
        <f>"09.0701"</f>
        <v>09.0701</v>
      </c>
      <c r="B188" t="s">
        <v>595</v>
      </c>
      <c r="C188" s="8" t="s">
        <v>596</v>
      </c>
      <c r="D188" t="s">
        <v>250</v>
      </c>
      <c r="E188" t="s">
        <v>251</v>
      </c>
      <c r="F188" t="str">
        <f>"09.0701"</f>
        <v>09.0701</v>
      </c>
      <c r="G188" s="8" t="s">
        <v>596</v>
      </c>
    </row>
    <row r="189" spans="1:7" ht="29" x14ac:dyDescent="0.35">
      <c r="A189" t="str">
        <f>"09.0702"</f>
        <v>09.0702</v>
      </c>
      <c r="B189" t="s">
        <v>597</v>
      </c>
      <c r="C189" s="8" t="s">
        <v>598</v>
      </c>
      <c r="D189" t="s">
        <v>250</v>
      </c>
      <c r="E189" t="s">
        <v>251</v>
      </c>
      <c r="F189" t="str">
        <f>"09.0702"</f>
        <v>09.0702</v>
      </c>
      <c r="G189" s="8" t="s">
        <v>598</v>
      </c>
    </row>
    <row r="190" spans="1:7" ht="29" x14ac:dyDescent="0.35">
      <c r="A190" t="str">
        <f>"09.0799"</f>
        <v>09.0799</v>
      </c>
      <c r="B190" t="s">
        <v>599</v>
      </c>
      <c r="C190" s="8" t="s">
        <v>600</v>
      </c>
      <c r="D190" t="s">
        <v>250</v>
      </c>
      <c r="E190" t="s">
        <v>251</v>
      </c>
      <c r="F190" t="str">
        <f>"09.0799"</f>
        <v>09.0799</v>
      </c>
      <c r="G190" s="8" t="s">
        <v>600</v>
      </c>
    </row>
    <row r="191" spans="1:7" ht="29" x14ac:dyDescent="0.35">
      <c r="A191" t="str">
        <f>"09.0900"</f>
        <v>09.0900</v>
      </c>
      <c r="B191" t="s">
        <v>601</v>
      </c>
      <c r="C191" s="8" t="s">
        <v>602</v>
      </c>
      <c r="D191" t="s">
        <v>250</v>
      </c>
      <c r="E191" t="s">
        <v>251</v>
      </c>
      <c r="F191" t="str">
        <f>"09.0900"</f>
        <v>09.0900</v>
      </c>
      <c r="G191" s="8" t="s">
        <v>602</v>
      </c>
    </row>
    <row r="192" spans="1:7" x14ac:dyDescent="0.35">
      <c r="A192" t="str">
        <f>"09.0901"</f>
        <v>09.0901</v>
      </c>
      <c r="B192" t="s">
        <v>603</v>
      </c>
      <c r="C192" s="8" t="s">
        <v>604</v>
      </c>
      <c r="D192" t="s">
        <v>250</v>
      </c>
      <c r="E192" t="s">
        <v>251</v>
      </c>
      <c r="F192" t="str">
        <f>"09.0901"</f>
        <v>09.0901</v>
      </c>
      <c r="G192" s="8" t="s">
        <v>604</v>
      </c>
    </row>
    <row r="193" spans="1:7" x14ac:dyDescent="0.35">
      <c r="A193" t="str">
        <f>"09.0902"</f>
        <v>09.0902</v>
      </c>
      <c r="B193" t="s">
        <v>605</v>
      </c>
      <c r="C193" s="8" t="s">
        <v>606</v>
      </c>
      <c r="D193" t="s">
        <v>250</v>
      </c>
      <c r="E193" t="s">
        <v>251</v>
      </c>
      <c r="F193" t="str">
        <f>"09.0902"</f>
        <v>09.0902</v>
      </c>
      <c r="G193" s="8" t="s">
        <v>606</v>
      </c>
    </row>
    <row r="194" spans="1:7" x14ac:dyDescent="0.35">
      <c r="A194" t="str">
        <f>"09.0903"</f>
        <v>09.0903</v>
      </c>
      <c r="B194" t="s">
        <v>607</v>
      </c>
      <c r="C194" s="8" t="s">
        <v>608</v>
      </c>
      <c r="D194" t="s">
        <v>250</v>
      </c>
      <c r="E194" t="s">
        <v>251</v>
      </c>
      <c r="F194" t="str">
        <f>"09.0903"</f>
        <v>09.0903</v>
      </c>
      <c r="G194" s="8" t="s">
        <v>608</v>
      </c>
    </row>
    <row r="195" spans="1:7" x14ac:dyDescent="0.35">
      <c r="A195" t="str">
        <f>"09.0904"</f>
        <v>09.0904</v>
      </c>
      <c r="B195" t="s">
        <v>609</v>
      </c>
      <c r="C195" s="8" t="s">
        <v>610</v>
      </c>
      <c r="D195" t="s">
        <v>250</v>
      </c>
      <c r="E195" t="s">
        <v>251</v>
      </c>
      <c r="F195" t="str">
        <f>"09.0904"</f>
        <v>09.0904</v>
      </c>
      <c r="G195" s="8" t="s">
        <v>610</v>
      </c>
    </row>
    <row r="196" spans="1:7" x14ac:dyDescent="0.35">
      <c r="A196" t="str">
        <f>"09.0905"</f>
        <v>09.0905</v>
      </c>
      <c r="B196" t="s">
        <v>611</v>
      </c>
      <c r="C196" s="8" t="s">
        <v>612</v>
      </c>
      <c r="D196" t="s">
        <v>250</v>
      </c>
      <c r="E196" t="s">
        <v>251</v>
      </c>
      <c r="F196" t="str">
        <f>"09.0905"</f>
        <v>09.0905</v>
      </c>
      <c r="G196" s="8" t="s">
        <v>612</v>
      </c>
    </row>
    <row r="197" spans="1:7" x14ac:dyDescent="0.35">
      <c r="A197" t="str">
        <f>"09.0906"</f>
        <v>09.0906</v>
      </c>
      <c r="B197" t="s">
        <v>613</v>
      </c>
      <c r="C197" s="8" t="s">
        <v>614</v>
      </c>
      <c r="D197" t="s">
        <v>250</v>
      </c>
      <c r="E197" t="s">
        <v>251</v>
      </c>
      <c r="F197" t="str">
        <f>"09.0906"</f>
        <v>09.0906</v>
      </c>
      <c r="G197" s="8" t="s">
        <v>614</v>
      </c>
    </row>
    <row r="198" spans="1:7" ht="29" x14ac:dyDescent="0.35">
      <c r="A198" t="str">
        <f>"09.0907"</f>
        <v>09.0907</v>
      </c>
      <c r="B198" t="s">
        <v>615</v>
      </c>
      <c r="C198" s="8" t="s">
        <v>616</v>
      </c>
      <c r="D198" t="s">
        <v>250</v>
      </c>
      <c r="E198" t="s">
        <v>251</v>
      </c>
      <c r="F198" t="str">
        <f>"09.0907"</f>
        <v>09.0907</v>
      </c>
      <c r="G198" s="8" t="s">
        <v>616</v>
      </c>
    </row>
    <row r="199" spans="1:7" x14ac:dyDescent="0.35">
      <c r="A199" t="str">
        <f>"09.0908"</f>
        <v>09.0908</v>
      </c>
      <c r="B199" t="s">
        <v>617</v>
      </c>
      <c r="C199" s="8" t="s">
        <v>618</v>
      </c>
      <c r="D199" t="s">
        <v>250</v>
      </c>
      <c r="E199" t="s">
        <v>251</v>
      </c>
      <c r="F199" t="str">
        <f>"09.0908"</f>
        <v>09.0908</v>
      </c>
      <c r="G199" s="8" t="s">
        <v>618</v>
      </c>
    </row>
    <row r="200" spans="1:7" ht="29" x14ac:dyDescent="0.35">
      <c r="D200" t="s">
        <v>275</v>
      </c>
      <c r="E200" t="s">
        <v>251</v>
      </c>
      <c r="F200" t="str">
        <f>"09.0909"</f>
        <v>09.0909</v>
      </c>
      <c r="G200" s="8" t="s">
        <v>619</v>
      </c>
    </row>
    <row r="201" spans="1:7" ht="29" x14ac:dyDescent="0.35">
      <c r="A201" t="str">
        <f>"09.0999"</f>
        <v>09.0999</v>
      </c>
      <c r="B201" t="s">
        <v>620</v>
      </c>
      <c r="C201" s="8" t="s">
        <v>621</v>
      </c>
      <c r="D201" t="s">
        <v>250</v>
      </c>
      <c r="E201" t="s">
        <v>251</v>
      </c>
      <c r="F201" t="str">
        <f>"09.0999"</f>
        <v>09.0999</v>
      </c>
      <c r="G201" s="8" t="s">
        <v>622</v>
      </c>
    </row>
    <row r="202" spans="1:7" x14ac:dyDescent="0.35">
      <c r="A202" t="str">
        <f>"09.1001"</f>
        <v>09.1001</v>
      </c>
      <c r="B202" t="s">
        <v>623</v>
      </c>
      <c r="C202" s="8" t="s">
        <v>624</v>
      </c>
      <c r="D202" t="s">
        <v>250</v>
      </c>
      <c r="E202" t="s">
        <v>251</v>
      </c>
      <c r="F202" t="str">
        <f>"09.1001"</f>
        <v>09.1001</v>
      </c>
      <c r="G202" s="8" t="s">
        <v>624</v>
      </c>
    </row>
    <row r="203" spans="1:7" ht="29" x14ac:dyDescent="0.35">
      <c r="A203" t="str">
        <f>"09.9999"</f>
        <v>09.9999</v>
      </c>
      <c r="B203" t="s">
        <v>625</v>
      </c>
      <c r="C203" s="8" t="s">
        <v>626</v>
      </c>
      <c r="D203" t="s">
        <v>250</v>
      </c>
      <c r="E203" t="s">
        <v>251</v>
      </c>
      <c r="F203" t="str">
        <f>"09.9999"</f>
        <v>09.9999</v>
      </c>
      <c r="G203" s="8" t="s">
        <v>626</v>
      </c>
    </row>
    <row r="204" spans="1:7" x14ac:dyDescent="0.35">
      <c r="A204" t="str">
        <f>"10.0105"</f>
        <v>10.0105</v>
      </c>
      <c r="B204" t="s">
        <v>627</v>
      </c>
      <c r="C204" s="8" t="s">
        <v>628</v>
      </c>
      <c r="D204" t="s">
        <v>250</v>
      </c>
      <c r="E204" t="s">
        <v>251</v>
      </c>
      <c r="F204" t="str">
        <f>"10.0105"</f>
        <v>10.0105</v>
      </c>
      <c r="G204" s="8" t="s">
        <v>628</v>
      </c>
    </row>
    <row r="205" spans="1:7" ht="29" x14ac:dyDescent="0.35">
      <c r="A205" t="str">
        <f>"10.0201"</f>
        <v>10.0201</v>
      </c>
      <c r="B205" t="s">
        <v>629</v>
      </c>
      <c r="C205" s="8" t="s">
        <v>630</v>
      </c>
      <c r="D205" t="s">
        <v>250</v>
      </c>
      <c r="E205" t="s">
        <v>264</v>
      </c>
      <c r="F205" t="str">
        <f>"10.0201"</f>
        <v>10.0201</v>
      </c>
      <c r="G205" s="8" t="s">
        <v>631</v>
      </c>
    </row>
    <row r="206" spans="1:7" ht="29" x14ac:dyDescent="0.35">
      <c r="A206" t="str">
        <f>"10.0202"</f>
        <v>10.0202</v>
      </c>
      <c r="B206" t="s">
        <v>632</v>
      </c>
      <c r="C206" s="8" t="s">
        <v>633</v>
      </c>
      <c r="D206" t="s">
        <v>250</v>
      </c>
      <c r="E206" t="s">
        <v>264</v>
      </c>
      <c r="F206" t="str">
        <f>"10.0202"</f>
        <v>10.0202</v>
      </c>
      <c r="G206" s="8" t="s">
        <v>633</v>
      </c>
    </row>
    <row r="207" spans="1:7" x14ac:dyDescent="0.35">
      <c r="A207" t="str">
        <f>"10.0203"</f>
        <v>10.0203</v>
      </c>
      <c r="B207" t="s">
        <v>634</v>
      </c>
      <c r="C207" s="8" t="s">
        <v>635</v>
      </c>
      <c r="D207" t="s">
        <v>250</v>
      </c>
      <c r="E207" t="s">
        <v>264</v>
      </c>
      <c r="F207" t="str">
        <f>"10.0203"</f>
        <v>10.0203</v>
      </c>
      <c r="G207" s="8" t="s">
        <v>635</v>
      </c>
    </row>
    <row r="208" spans="1:7" x14ac:dyDescent="0.35">
      <c r="D208" t="s">
        <v>275</v>
      </c>
      <c r="E208" t="s">
        <v>251</v>
      </c>
      <c r="F208" t="str">
        <f>"10.0204"</f>
        <v>10.0204</v>
      </c>
      <c r="G208" s="8" t="s">
        <v>636</v>
      </c>
    </row>
    <row r="209" spans="1:7" ht="29" x14ac:dyDescent="0.35">
      <c r="A209" t="str">
        <f>"10.0299"</f>
        <v>10.0299</v>
      </c>
      <c r="B209" t="s">
        <v>637</v>
      </c>
      <c r="C209" s="8" t="s">
        <v>638</v>
      </c>
      <c r="D209" t="s">
        <v>250</v>
      </c>
      <c r="E209" t="s">
        <v>264</v>
      </c>
      <c r="F209" t="str">
        <f>"10.0299"</f>
        <v>10.0299</v>
      </c>
      <c r="G209" s="8" t="s">
        <v>638</v>
      </c>
    </row>
    <row r="210" spans="1:7" x14ac:dyDescent="0.35">
      <c r="A210" t="str">
        <f>"10.0301"</f>
        <v>10.0301</v>
      </c>
      <c r="B210" t="s">
        <v>639</v>
      </c>
      <c r="C210" s="8" t="s">
        <v>640</v>
      </c>
      <c r="D210" t="s">
        <v>250</v>
      </c>
      <c r="E210" t="s">
        <v>251</v>
      </c>
      <c r="F210" t="str">
        <f>"10.0301"</f>
        <v>10.0301</v>
      </c>
      <c r="G210" s="8" t="s">
        <v>640</v>
      </c>
    </row>
    <row r="211" spans="1:7" x14ac:dyDescent="0.35">
      <c r="A211" t="str">
        <f>"10.0302"</f>
        <v>10.0302</v>
      </c>
      <c r="B211" t="s">
        <v>641</v>
      </c>
      <c r="C211" s="8" t="s">
        <v>642</v>
      </c>
      <c r="D211" t="s">
        <v>250</v>
      </c>
      <c r="E211" t="s">
        <v>251</v>
      </c>
      <c r="F211" t="str">
        <f>"10.0302"</f>
        <v>10.0302</v>
      </c>
      <c r="G211" s="8" t="s">
        <v>642</v>
      </c>
    </row>
    <row r="212" spans="1:7" ht="29" x14ac:dyDescent="0.35">
      <c r="A212" t="str">
        <f>"10.0303"</f>
        <v>10.0303</v>
      </c>
      <c r="B212" t="s">
        <v>643</v>
      </c>
      <c r="C212" s="8" t="s">
        <v>644</v>
      </c>
      <c r="D212" t="s">
        <v>250</v>
      </c>
      <c r="E212" t="s">
        <v>251</v>
      </c>
      <c r="F212" t="str">
        <f>"10.0303"</f>
        <v>10.0303</v>
      </c>
      <c r="G212" s="8" t="s">
        <v>644</v>
      </c>
    </row>
    <row r="213" spans="1:7" ht="29" x14ac:dyDescent="0.35">
      <c r="A213" t="str">
        <f>"10.0304"</f>
        <v>10.0304</v>
      </c>
      <c r="B213" t="s">
        <v>645</v>
      </c>
      <c r="C213" s="8" t="s">
        <v>646</v>
      </c>
      <c r="D213" t="s">
        <v>250</v>
      </c>
      <c r="E213" t="s">
        <v>251</v>
      </c>
      <c r="F213" t="str">
        <f>"10.0304"</f>
        <v>10.0304</v>
      </c>
      <c r="G213" s="8" t="s">
        <v>647</v>
      </c>
    </row>
    <row r="214" spans="1:7" ht="29" x14ac:dyDescent="0.35">
      <c r="A214" t="str">
        <f>"10.0305"</f>
        <v>10.0305</v>
      </c>
      <c r="B214" t="s">
        <v>648</v>
      </c>
      <c r="C214" s="8" t="s">
        <v>649</v>
      </c>
      <c r="D214" t="s">
        <v>250</v>
      </c>
      <c r="E214" t="s">
        <v>251</v>
      </c>
      <c r="F214" t="str">
        <f>"10.0305"</f>
        <v>10.0305</v>
      </c>
      <c r="G214" s="8" t="s">
        <v>649</v>
      </c>
    </row>
    <row r="215" spans="1:7" x14ac:dyDescent="0.35">
      <c r="A215" t="str">
        <f>"10.0306"</f>
        <v>10.0306</v>
      </c>
      <c r="B215" t="s">
        <v>650</v>
      </c>
      <c r="C215" s="8" t="s">
        <v>651</v>
      </c>
      <c r="D215" t="s">
        <v>250</v>
      </c>
      <c r="E215" t="s">
        <v>251</v>
      </c>
      <c r="F215" t="str">
        <f>"10.0306"</f>
        <v>10.0306</v>
      </c>
      <c r="G215" s="8" t="s">
        <v>651</v>
      </c>
    </row>
    <row r="216" spans="1:7" x14ac:dyDescent="0.35">
      <c r="A216" t="str">
        <f>"10.0307"</f>
        <v>10.0307</v>
      </c>
      <c r="B216" t="s">
        <v>652</v>
      </c>
      <c r="C216" s="8" t="s">
        <v>653</v>
      </c>
      <c r="D216" t="s">
        <v>250</v>
      </c>
      <c r="E216" t="s">
        <v>251</v>
      </c>
      <c r="F216" t="str">
        <f>"10.0307"</f>
        <v>10.0307</v>
      </c>
      <c r="G216" s="8" t="s">
        <v>653</v>
      </c>
    </row>
    <row r="217" spans="1:7" ht="29" x14ac:dyDescent="0.35">
      <c r="A217" t="str">
        <f>"10.0308"</f>
        <v>10.0308</v>
      </c>
      <c r="B217" t="s">
        <v>654</v>
      </c>
      <c r="C217" s="8" t="s">
        <v>655</v>
      </c>
      <c r="D217" t="s">
        <v>250</v>
      </c>
      <c r="E217" t="s">
        <v>251</v>
      </c>
      <c r="F217" t="str">
        <f>"10.0308"</f>
        <v>10.0308</v>
      </c>
      <c r="G217" s="8" t="s">
        <v>655</v>
      </c>
    </row>
    <row r="218" spans="1:7" x14ac:dyDescent="0.35">
      <c r="A218" t="str">
        <f>"10.0399"</f>
        <v>10.0399</v>
      </c>
      <c r="B218" t="s">
        <v>656</v>
      </c>
      <c r="C218" s="8" t="s">
        <v>657</v>
      </c>
      <c r="D218" t="s">
        <v>250</v>
      </c>
      <c r="E218" t="s">
        <v>251</v>
      </c>
      <c r="F218" t="str">
        <f>"10.0399"</f>
        <v>10.0399</v>
      </c>
      <c r="G218" s="8" t="s">
        <v>657</v>
      </c>
    </row>
    <row r="219" spans="1:7" ht="43.5" x14ac:dyDescent="0.35">
      <c r="A219" t="str">
        <f>"10.9999"</f>
        <v>10.9999</v>
      </c>
      <c r="B219" t="s">
        <v>658</v>
      </c>
      <c r="C219" s="8" t="s">
        <v>659</v>
      </c>
      <c r="D219" t="s">
        <v>250</v>
      </c>
      <c r="E219" t="s">
        <v>251</v>
      </c>
      <c r="F219" t="str">
        <f>"10.9999"</f>
        <v>10.9999</v>
      </c>
      <c r="G219" s="8" t="s">
        <v>659</v>
      </c>
    </row>
    <row r="220" spans="1:7" ht="29" x14ac:dyDescent="0.35">
      <c r="A220" t="str">
        <f>"11.0101"</f>
        <v>11.0101</v>
      </c>
      <c r="B220" t="s">
        <v>660</v>
      </c>
      <c r="C220" s="8" t="s">
        <v>661</v>
      </c>
      <c r="D220" t="s">
        <v>250</v>
      </c>
      <c r="E220" t="s">
        <v>251</v>
      </c>
      <c r="F220" t="str">
        <f>"11.0101"</f>
        <v>11.0101</v>
      </c>
      <c r="G220" s="8" t="s">
        <v>661</v>
      </c>
    </row>
    <row r="221" spans="1:7" x14ac:dyDescent="0.35">
      <c r="A221" t="str">
        <f>"11.0102"</f>
        <v>11.0102</v>
      </c>
      <c r="B221" t="s">
        <v>662</v>
      </c>
      <c r="C221" s="8" t="s">
        <v>663</v>
      </c>
      <c r="D221" t="s">
        <v>250</v>
      </c>
      <c r="E221" t="s">
        <v>251</v>
      </c>
      <c r="F221" t="str">
        <f>"11.0102"</f>
        <v>11.0102</v>
      </c>
      <c r="G221" s="8" t="s">
        <v>663</v>
      </c>
    </row>
    <row r="222" spans="1:7" x14ac:dyDescent="0.35">
      <c r="A222" t="str">
        <f>"11.0103"</f>
        <v>11.0103</v>
      </c>
      <c r="B222" t="s">
        <v>664</v>
      </c>
      <c r="C222" s="8" t="s">
        <v>665</v>
      </c>
      <c r="D222" t="s">
        <v>250</v>
      </c>
      <c r="E222" t="s">
        <v>251</v>
      </c>
      <c r="F222" t="str">
        <f>"11.0103"</f>
        <v>11.0103</v>
      </c>
      <c r="G222" s="8" t="s">
        <v>665</v>
      </c>
    </row>
    <row r="223" spans="1:7" x14ac:dyDescent="0.35">
      <c r="A223" t="str">
        <f>"11.0104"</f>
        <v>11.0104</v>
      </c>
      <c r="B223" t="s">
        <v>666</v>
      </c>
      <c r="C223" s="8" t="s">
        <v>667</v>
      </c>
      <c r="D223" t="s">
        <v>250</v>
      </c>
      <c r="E223" t="s">
        <v>251</v>
      </c>
      <c r="F223" t="str">
        <f>"11.0104"</f>
        <v>11.0104</v>
      </c>
      <c r="G223" s="8" t="s">
        <v>667</v>
      </c>
    </row>
    <row r="224" spans="1:7" x14ac:dyDescent="0.35">
      <c r="D224" t="s">
        <v>275</v>
      </c>
      <c r="E224" t="s">
        <v>251</v>
      </c>
      <c r="F224" t="str">
        <f>"11.0105"</f>
        <v>11.0105</v>
      </c>
      <c r="G224" s="8" t="s">
        <v>668</v>
      </c>
    </row>
    <row r="225" spans="1:7" ht="29" x14ac:dyDescent="0.35">
      <c r="A225" t="str">
        <f>"11.0199"</f>
        <v>11.0199</v>
      </c>
      <c r="B225" t="s">
        <v>669</v>
      </c>
      <c r="C225" s="8" t="s">
        <v>670</v>
      </c>
      <c r="D225" t="s">
        <v>250</v>
      </c>
      <c r="E225" t="s">
        <v>251</v>
      </c>
      <c r="F225" t="str">
        <f>"11.0199"</f>
        <v>11.0199</v>
      </c>
      <c r="G225" s="8" t="s">
        <v>670</v>
      </c>
    </row>
    <row r="226" spans="1:7" ht="29" x14ac:dyDescent="0.35">
      <c r="A226" t="str">
        <f>"11.0201"</f>
        <v>11.0201</v>
      </c>
      <c r="B226" t="s">
        <v>671</v>
      </c>
      <c r="C226" s="8" t="s">
        <v>672</v>
      </c>
      <c r="D226" t="s">
        <v>250</v>
      </c>
      <c r="E226" t="s">
        <v>251</v>
      </c>
      <c r="F226" t="str">
        <f>"11.0201"</f>
        <v>11.0201</v>
      </c>
      <c r="G226" s="8" t="s">
        <v>672</v>
      </c>
    </row>
    <row r="227" spans="1:7" ht="29" x14ac:dyDescent="0.35">
      <c r="A227" t="str">
        <f>"11.0202"</f>
        <v>11.0202</v>
      </c>
      <c r="B227" t="s">
        <v>673</v>
      </c>
      <c r="C227" s="8" t="s">
        <v>674</v>
      </c>
      <c r="D227" t="s">
        <v>250</v>
      </c>
      <c r="E227" t="s">
        <v>251</v>
      </c>
      <c r="F227" t="str">
        <f>"11.0202"</f>
        <v>11.0202</v>
      </c>
      <c r="G227" s="8" t="s">
        <v>674</v>
      </c>
    </row>
    <row r="228" spans="1:7" ht="29" x14ac:dyDescent="0.35">
      <c r="A228" t="str">
        <f>"11.0203"</f>
        <v>11.0203</v>
      </c>
      <c r="B228" t="s">
        <v>675</v>
      </c>
      <c r="C228" s="8" t="s">
        <v>676</v>
      </c>
      <c r="D228" t="s">
        <v>250</v>
      </c>
      <c r="E228" t="s">
        <v>251</v>
      </c>
      <c r="F228" t="str">
        <f>"11.0203"</f>
        <v>11.0203</v>
      </c>
      <c r="G228" s="8" t="s">
        <v>676</v>
      </c>
    </row>
    <row r="229" spans="1:7" x14ac:dyDescent="0.35">
      <c r="D229" t="s">
        <v>275</v>
      </c>
      <c r="E229" t="s">
        <v>251</v>
      </c>
      <c r="F229" t="str">
        <f>"11.0204"</f>
        <v>11.0204</v>
      </c>
      <c r="G229" s="8" t="s">
        <v>677</v>
      </c>
    </row>
    <row r="230" spans="1:7" x14ac:dyDescent="0.35">
      <c r="D230" t="s">
        <v>275</v>
      </c>
      <c r="E230" t="s">
        <v>251</v>
      </c>
      <c r="F230" t="str">
        <f>"11.0205"</f>
        <v>11.0205</v>
      </c>
      <c r="G230" s="8" t="s">
        <v>678</v>
      </c>
    </row>
    <row r="231" spans="1:7" x14ac:dyDescent="0.35">
      <c r="A231" t="str">
        <f>"11.0299"</f>
        <v>11.0299</v>
      </c>
      <c r="B231" t="s">
        <v>679</v>
      </c>
      <c r="C231" s="8" t="s">
        <v>680</v>
      </c>
      <c r="D231" t="s">
        <v>250</v>
      </c>
      <c r="E231" t="s">
        <v>251</v>
      </c>
      <c r="F231" t="str">
        <f>"11.0299"</f>
        <v>11.0299</v>
      </c>
      <c r="G231" s="8" t="s">
        <v>680</v>
      </c>
    </row>
    <row r="232" spans="1:7" ht="29" x14ac:dyDescent="0.35">
      <c r="A232" t="str">
        <f>"11.0301"</f>
        <v>11.0301</v>
      </c>
      <c r="B232" t="s">
        <v>681</v>
      </c>
      <c r="C232" s="8" t="s">
        <v>682</v>
      </c>
      <c r="D232" t="s">
        <v>250</v>
      </c>
      <c r="E232" t="s">
        <v>251</v>
      </c>
      <c r="F232" t="str">
        <f>"11.0301"</f>
        <v>11.0301</v>
      </c>
      <c r="G232" s="8" t="s">
        <v>682</v>
      </c>
    </row>
    <row r="233" spans="1:7" x14ac:dyDescent="0.35">
      <c r="A233" t="str">
        <f>"11.0401"</f>
        <v>11.0401</v>
      </c>
      <c r="B233" t="s">
        <v>683</v>
      </c>
      <c r="C233" s="8" t="s">
        <v>684</v>
      </c>
      <c r="D233" t="s">
        <v>250</v>
      </c>
      <c r="E233" t="s">
        <v>251</v>
      </c>
      <c r="F233" t="str">
        <f>"11.0401"</f>
        <v>11.0401</v>
      </c>
      <c r="G233" s="8" t="s">
        <v>684</v>
      </c>
    </row>
    <row r="234" spans="1:7" x14ac:dyDescent="0.35">
      <c r="A234" t="str">
        <f>"11.0501"</f>
        <v>11.0501</v>
      </c>
      <c r="B234" t="s">
        <v>685</v>
      </c>
      <c r="C234" s="8" t="s">
        <v>686</v>
      </c>
      <c r="D234" t="s">
        <v>250</v>
      </c>
      <c r="E234" t="s">
        <v>251</v>
      </c>
      <c r="F234" t="str">
        <f>"11.0501"</f>
        <v>11.0501</v>
      </c>
      <c r="G234" s="8" t="s">
        <v>686</v>
      </c>
    </row>
    <row r="235" spans="1:7" ht="29" x14ac:dyDescent="0.35">
      <c r="A235" t="str">
        <f>"11.0601"</f>
        <v>11.0601</v>
      </c>
      <c r="B235" t="s">
        <v>687</v>
      </c>
      <c r="C235" s="8" t="s">
        <v>688</v>
      </c>
      <c r="D235" t="s">
        <v>250</v>
      </c>
      <c r="E235" t="s">
        <v>251</v>
      </c>
      <c r="F235" t="str">
        <f>"11.0601"</f>
        <v>11.0601</v>
      </c>
      <c r="G235" s="8" t="s">
        <v>688</v>
      </c>
    </row>
    <row r="236" spans="1:7" x14ac:dyDescent="0.35">
      <c r="A236" t="str">
        <f>"11.0602"</f>
        <v>11.0602</v>
      </c>
      <c r="B236" t="s">
        <v>689</v>
      </c>
      <c r="C236" s="8" t="s">
        <v>690</v>
      </c>
      <c r="D236" t="s">
        <v>250</v>
      </c>
      <c r="E236" t="s">
        <v>251</v>
      </c>
      <c r="F236" t="str">
        <f>"11.0602"</f>
        <v>11.0602</v>
      </c>
      <c r="G236" s="8" t="s">
        <v>690</v>
      </c>
    </row>
    <row r="237" spans="1:7" ht="29" x14ac:dyDescent="0.35">
      <c r="A237" t="str">
        <f>"11.0699"</f>
        <v>11.0699</v>
      </c>
      <c r="B237" t="s">
        <v>691</v>
      </c>
      <c r="C237" s="8" t="s">
        <v>692</v>
      </c>
      <c r="D237" t="s">
        <v>250</v>
      </c>
      <c r="E237" t="s">
        <v>251</v>
      </c>
      <c r="F237" t="str">
        <f>"11.0699"</f>
        <v>11.0699</v>
      </c>
      <c r="G237" s="8" t="s">
        <v>692</v>
      </c>
    </row>
    <row r="238" spans="1:7" x14ac:dyDescent="0.35">
      <c r="A238" t="str">
        <f>"11.0701"</f>
        <v>11.0701</v>
      </c>
      <c r="B238" t="s">
        <v>693</v>
      </c>
      <c r="C238" s="8" t="s">
        <v>694</v>
      </c>
      <c r="D238" t="s">
        <v>250</v>
      </c>
      <c r="E238" t="s">
        <v>251</v>
      </c>
      <c r="F238" t="str">
        <f>"11.0701"</f>
        <v>11.0701</v>
      </c>
      <c r="G238" s="8" t="s">
        <v>694</v>
      </c>
    </row>
    <row r="239" spans="1:7" ht="29" x14ac:dyDescent="0.35">
      <c r="A239" t="str">
        <f>"11.0801"</f>
        <v>11.0801</v>
      </c>
      <c r="B239" t="s">
        <v>695</v>
      </c>
      <c r="C239" s="8" t="s">
        <v>696</v>
      </c>
      <c r="D239" t="s">
        <v>250</v>
      </c>
      <c r="E239" t="s">
        <v>264</v>
      </c>
      <c r="F239" t="str">
        <f>"11.0801"</f>
        <v>11.0801</v>
      </c>
      <c r="G239" s="8" t="s">
        <v>696</v>
      </c>
    </row>
    <row r="240" spans="1:7" ht="29" x14ac:dyDescent="0.35">
      <c r="A240" t="str">
        <f>"11.0802"</f>
        <v>11.0802</v>
      </c>
      <c r="B240" t="s">
        <v>697</v>
      </c>
      <c r="C240" s="8" t="s">
        <v>698</v>
      </c>
      <c r="D240" t="s">
        <v>250</v>
      </c>
      <c r="E240" t="s">
        <v>251</v>
      </c>
      <c r="F240" t="str">
        <f>"11.0802"</f>
        <v>11.0802</v>
      </c>
      <c r="G240" s="8" t="s">
        <v>698</v>
      </c>
    </row>
    <row r="241" spans="1:7" x14ac:dyDescent="0.35">
      <c r="A241" t="str">
        <f>"11.0803"</f>
        <v>11.0803</v>
      </c>
      <c r="B241" t="s">
        <v>699</v>
      </c>
      <c r="C241" s="8" t="s">
        <v>700</v>
      </c>
      <c r="D241" t="s">
        <v>250</v>
      </c>
      <c r="E241" t="s">
        <v>251</v>
      </c>
      <c r="F241" t="str">
        <f>"11.0803"</f>
        <v>11.0803</v>
      </c>
      <c r="G241" s="8" t="s">
        <v>700</v>
      </c>
    </row>
    <row r="242" spans="1:7" ht="29" x14ac:dyDescent="0.35">
      <c r="A242" t="str">
        <f>"11.0804"</f>
        <v>11.0804</v>
      </c>
      <c r="B242" t="s">
        <v>701</v>
      </c>
      <c r="C242" s="8" t="s">
        <v>702</v>
      </c>
      <c r="D242" t="s">
        <v>250</v>
      </c>
      <c r="E242" t="s">
        <v>251</v>
      </c>
      <c r="F242" t="str">
        <f>"11.0804"</f>
        <v>11.0804</v>
      </c>
      <c r="G242" s="8" t="s">
        <v>702</v>
      </c>
    </row>
    <row r="243" spans="1:7" ht="29" x14ac:dyDescent="0.35">
      <c r="A243" t="str">
        <f>"11.0899"</f>
        <v>11.0899</v>
      </c>
      <c r="B243" t="s">
        <v>703</v>
      </c>
      <c r="C243" s="8" t="s">
        <v>704</v>
      </c>
      <c r="D243" t="s">
        <v>250</v>
      </c>
      <c r="E243" t="s">
        <v>251</v>
      </c>
      <c r="F243" t="str">
        <f>"11.0899"</f>
        <v>11.0899</v>
      </c>
      <c r="G243" s="8" t="s">
        <v>704</v>
      </c>
    </row>
    <row r="244" spans="1:7" ht="29" x14ac:dyDescent="0.35">
      <c r="A244" t="str">
        <f>"11.0901"</f>
        <v>11.0901</v>
      </c>
      <c r="B244" t="s">
        <v>705</v>
      </c>
      <c r="C244" s="8" t="s">
        <v>706</v>
      </c>
      <c r="D244" t="s">
        <v>250</v>
      </c>
      <c r="E244" t="s">
        <v>251</v>
      </c>
      <c r="F244" t="str">
        <f>"11.0901"</f>
        <v>11.0901</v>
      </c>
      <c r="G244" s="8" t="s">
        <v>706</v>
      </c>
    </row>
    <row r="245" spans="1:7" x14ac:dyDescent="0.35">
      <c r="D245" t="s">
        <v>275</v>
      </c>
      <c r="E245" t="s">
        <v>251</v>
      </c>
      <c r="F245" t="str">
        <f>"11.0902"</f>
        <v>11.0902</v>
      </c>
      <c r="G245" s="8" t="s">
        <v>707</v>
      </c>
    </row>
    <row r="246" spans="1:7" ht="29" x14ac:dyDescent="0.35">
      <c r="D246" t="s">
        <v>275</v>
      </c>
      <c r="E246" t="s">
        <v>251</v>
      </c>
      <c r="F246" t="str">
        <f>"11.0999"</f>
        <v>11.0999</v>
      </c>
      <c r="G246" s="8" t="s">
        <v>708</v>
      </c>
    </row>
    <row r="247" spans="1:7" ht="29" x14ac:dyDescent="0.35">
      <c r="A247" t="str">
        <f>"11.1001"</f>
        <v>11.1001</v>
      </c>
      <c r="B247" t="s">
        <v>709</v>
      </c>
      <c r="C247" s="8" t="s">
        <v>710</v>
      </c>
      <c r="D247" t="s">
        <v>250</v>
      </c>
      <c r="E247" t="s">
        <v>251</v>
      </c>
      <c r="F247" t="str">
        <f>"11.1001"</f>
        <v>11.1001</v>
      </c>
      <c r="G247" s="8" t="s">
        <v>710</v>
      </c>
    </row>
    <row r="248" spans="1:7" ht="29" x14ac:dyDescent="0.35">
      <c r="A248" t="str">
        <f>"11.1002"</f>
        <v>11.1002</v>
      </c>
      <c r="B248" t="s">
        <v>711</v>
      </c>
      <c r="C248" s="8" t="s">
        <v>712</v>
      </c>
      <c r="D248" t="s">
        <v>250</v>
      </c>
      <c r="E248" t="s">
        <v>251</v>
      </c>
      <c r="F248" t="str">
        <f>"11.1002"</f>
        <v>11.1002</v>
      </c>
      <c r="G248" s="8" t="s">
        <v>712</v>
      </c>
    </row>
    <row r="249" spans="1:7" ht="29" x14ac:dyDescent="0.35">
      <c r="A249" t="str">
        <f>"11.1003"</f>
        <v>11.1003</v>
      </c>
      <c r="B249" t="s">
        <v>713</v>
      </c>
      <c r="C249" s="8" t="s">
        <v>714</v>
      </c>
      <c r="D249" t="s">
        <v>250</v>
      </c>
      <c r="E249" t="s">
        <v>264</v>
      </c>
      <c r="F249" t="str">
        <f>"11.1003"</f>
        <v>11.1003</v>
      </c>
      <c r="G249" s="8" t="s">
        <v>715</v>
      </c>
    </row>
    <row r="250" spans="1:7" ht="29" x14ac:dyDescent="0.35">
      <c r="A250" t="str">
        <f>"11.1004"</f>
        <v>11.1004</v>
      </c>
      <c r="B250" t="s">
        <v>716</v>
      </c>
      <c r="C250" s="8" t="s">
        <v>717</v>
      </c>
      <c r="D250" t="s">
        <v>250</v>
      </c>
      <c r="E250" t="s">
        <v>251</v>
      </c>
      <c r="F250" t="str">
        <f>"11.1004"</f>
        <v>11.1004</v>
      </c>
      <c r="G250" s="8" t="s">
        <v>717</v>
      </c>
    </row>
    <row r="251" spans="1:7" ht="29" x14ac:dyDescent="0.35">
      <c r="A251" t="str">
        <f>"11.1005"</f>
        <v>11.1005</v>
      </c>
      <c r="B251" t="s">
        <v>718</v>
      </c>
      <c r="C251" s="8" t="s">
        <v>719</v>
      </c>
      <c r="D251" t="s">
        <v>250</v>
      </c>
      <c r="E251" t="s">
        <v>251</v>
      </c>
      <c r="F251" t="str">
        <f>"11.1005"</f>
        <v>11.1005</v>
      </c>
      <c r="G251" s="8" t="s">
        <v>719</v>
      </c>
    </row>
    <row r="252" spans="1:7" x14ac:dyDescent="0.35">
      <c r="A252" t="str">
        <f>"11.1006"</f>
        <v>11.1006</v>
      </c>
      <c r="B252" t="s">
        <v>720</v>
      </c>
      <c r="C252" s="8" t="s">
        <v>721</v>
      </c>
      <c r="D252" t="s">
        <v>250</v>
      </c>
      <c r="E252" t="s">
        <v>251</v>
      </c>
      <c r="F252" t="str">
        <f>"11.1006"</f>
        <v>11.1006</v>
      </c>
      <c r="G252" s="8" t="s">
        <v>721</v>
      </c>
    </row>
    <row r="253" spans="1:7" ht="43.5" x14ac:dyDescent="0.35">
      <c r="A253" t="str">
        <f>"11.1099"</f>
        <v>11.1099</v>
      </c>
      <c r="B253" t="s">
        <v>722</v>
      </c>
      <c r="C253" s="8" t="s">
        <v>723</v>
      </c>
      <c r="D253" t="s">
        <v>250</v>
      </c>
      <c r="E253" t="s">
        <v>251</v>
      </c>
      <c r="F253" t="str">
        <f>"11.1099"</f>
        <v>11.1099</v>
      </c>
      <c r="G253" s="8" t="s">
        <v>723</v>
      </c>
    </row>
    <row r="254" spans="1:7" ht="29" x14ac:dyDescent="0.35">
      <c r="A254" t="str">
        <f>"11.9999"</f>
        <v>11.9999</v>
      </c>
      <c r="B254" t="s">
        <v>724</v>
      </c>
      <c r="C254" s="8" t="s">
        <v>725</v>
      </c>
      <c r="D254" t="s">
        <v>250</v>
      </c>
      <c r="E254" t="s">
        <v>251</v>
      </c>
      <c r="F254" t="str">
        <f>"11.9999"</f>
        <v>11.9999</v>
      </c>
      <c r="G254" s="8" t="s">
        <v>725</v>
      </c>
    </row>
    <row r="255" spans="1:7" ht="29" x14ac:dyDescent="0.35">
      <c r="A255" t="str">
        <f>"12.0301"</f>
        <v>12.0301</v>
      </c>
      <c r="B255" t="s">
        <v>726</v>
      </c>
      <c r="C255" s="8" t="s">
        <v>727</v>
      </c>
      <c r="D255" t="s">
        <v>250</v>
      </c>
      <c r="E255" t="s">
        <v>251</v>
      </c>
      <c r="F255" t="str">
        <f>"12.0301"</f>
        <v>12.0301</v>
      </c>
      <c r="G255" s="8" t="s">
        <v>727</v>
      </c>
    </row>
    <row r="256" spans="1:7" x14ac:dyDescent="0.35">
      <c r="A256" t="str">
        <f>"12.0302"</f>
        <v>12.0302</v>
      </c>
      <c r="B256" t="s">
        <v>728</v>
      </c>
      <c r="C256" s="8" t="s">
        <v>729</v>
      </c>
      <c r="D256" t="s">
        <v>250</v>
      </c>
      <c r="E256" t="s">
        <v>251</v>
      </c>
      <c r="F256" t="str">
        <f>"12.0302"</f>
        <v>12.0302</v>
      </c>
      <c r="G256" s="8" t="s">
        <v>729</v>
      </c>
    </row>
    <row r="257" spans="1:7" ht="29" x14ac:dyDescent="0.35">
      <c r="A257" t="str">
        <f>"12.0303"</f>
        <v>12.0303</v>
      </c>
      <c r="B257" t="s">
        <v>730</v>
      </c>
      <c r="C257" s="8" t="s">
        <v>731</v>
      </c>
      <c r="D257" t="s">
        <v>250</v>
      </c>
      <c r="E257" t="s">
        <v>251</v>
      </c>
      <c r="F257" t="str">
        <f>"12.0303"</f>
        <v>12.0303</v>
      </c>
      <c r="G257" s="8" t="s">
        <v>731</v>
      </c>
    </row>
    <row r="258" spans="1:7" ht="29" x14ac:dyDescent="0.35">
      <c r="A258" t="str">
        <f>"12.0399"</f>
        <v>12.0399</v>
      </c>
      <c r="B258" t="s">
        <v>732</v>
      </c>
      <c r="C258" s="8" t="s">
        <v>733</v>
      </c>
      <c r="D258" t="s">
        <v>250</v>
      </c>
      <c r="E258" t="s">
        <v>251</v>
      </c>
      <c r="F258" t="str">
        <f>"12.0399"</f>
        <v>12.0399</v>
      </c>
      <c r="G258" s="8" t="s">
        <v>733</v>
      </c>
    </row>
    <row r="259" spans="1:7" x14ac:dyDescent="0.35">
      <c r="A259" t="str">
        <f>"12.0401"</f>
        <v>12.0401</v>
      </c>
      <c r="B259" t="s">
        <v>734</v>
      </c>
      <c r="C259" s="8" t="s">
        <v>735</v>
      </c>
      <c r="D259" t="s">
        <v>250</v>
      </c>
      <c r="E259" t="s">
        <v>251</v>
      </c>
      <c r="F259" t="str">
        <f>"12.0401"</f>
        <v>12.0401</v>
      </c>
      <c r="G259" s="8" t="s">
        <v>735</v>
      </c>
    </row>
    <row r="260" spans="1:7" x14ac:dyDescent="0.35">
      <c r="A260" t="str">
        <f>"12.0402"</f>
        <v>12.0402</v>
      </c>
      <c r="B260" t="s">
        <v>736</v>
      </c>
      <c r="C260" s="8" t="s">
        <v>737</v>
      </c>
      <c r="D260" t="s">
        <v>250</v>
      </c>
      <c r="E260" t="s">
        <v>251</v>
      </c>
      <c r="F260" t="str">
        <f>"12.0402"</f>
        <v>12.0402</v>
      </c>
      <c r="G260" s="8" t="s">
        <v>737</v>
      </c>
    </row>
    <row r="261" spans="1:7" ht="29" x14ac:dyDescent="0.35">
      <c r="A261" t="str">
        <f>"12.0404"</f>
        <v>12.0404</v>
      </c>
      <c r="B261" t="s">
        <v>738</v>
      </c>
      <c r="C261" s="8" t="s">
        <v>739</v>
      </c>
      <c r="D261" t="s">
        <v>250</v>
      </c>
      <c r="E261" t="s">
        <v>251</v>
      </c>
      <c r="F261" t="str">
        <f>"12.0404"</f>
        <v>12.0404</v>
      </c>
      <c r="G261" s="8" t="s">
        <v>739</v>
      </c>
    </row>
    <row r="262" spans="1:7" x14ac:dyDescent="0.35">
      <c r="A262" t="str">
        <f>"12.0406"</f>
        <v>12.0406</v>
      </c>
      <c r="B262" t="s">
        <v>740</v>
      </c>
      <c r="C262" s="8" t="s">
        <v>741</v>
      </c>
      <c r="D262" t="s">
        <v>250</v>
      </c>
      <c r="E262" t="s">
        <v>251</v>
      </c>
      <c r="F262" t="str">
        <f>"12.0406"</f>
        <v>12.0406</v>
      </c>
      <c r="G262" s="8" t="s">
        <v>741</v>
      </c>
    </row>
    <row r="263" spans="1:7" x14ac:dyDescent="0.35">
      <c r="A263" t="str">
        <f>"12.0407"</f>
        <v>12.0407</v>
      </c>
      <c r="B263" t="s">
        <v>742</v>
      </c>
      <c r="C263" s="8" t="s">
        <v>743</v>
      </c>
      <c r="D263" t="s">
        <v>250</v>
      </c>
      <c r="E263" t="s">
        <v>251</v>
      </c>
      <c r="F263" t="str">
        <f>"12.0407"</f>
        <v>12.0407</v>
      </c>
      <c r="G263" s="8" t="s">
        <v>743</v>
      </c>
    </row>
    <row r="264" spans="1:7" x14ac:dyDescent="0.35">
      <c r="A264" t="str">
        <f>"12.0408"</f>
        <v>12.0408</v>
      </c>
      <c r="B264" t="s">
        <v>744</v>
      </c>
      <c r="C264" s="8" t="s">
        <v>745</v>
      </c>
      <c r="D264" t="s">
        <v>250</v>
      </c>
      <c r="E264" t="s">
        <v>251</v>
      </c>
      <c r="F264" t="str">
        <f>"12.0408"</f>
        <v>12.0408</v>
      </c>
      <c r="G264" s="8" t="s">
        <v>745</v>
      </c>
    </row>
    <row r="265" spans="1:7" ht="29" x14ac:dyDescent="0.35">
      <c r="A265" t="str">
        <f>"12.0409"</f>
        <v>12.0409</v>
      </c>
      <c r="B265" t="s">
        <v>746</v>
      </c>
      <c r="C265" s="8" t="s">
        <v>747</v>
      </c>
      <c r="D265" t="s">
        <v>250</v>
      </c>
      <c r="E265" t="s">
        <v>251</v>
      </c>
      <c r="F265" t="str">
        <f>"12.0409"</f>
        <v>12.0409</v>
      </c>
      <c r="G265" s="8" t="s">
        <v>747</v>
      </c>
    </row>
    <row r="266" spans="1:7" x14ac:dyDescent="0.35">
      <c r="A266" t="str">
        <f>"12.0410"</f>
        <v>12.0410</v>
      </c>
      <c r="B266" t="s">
        <v>748</v>
      </c>
      <c r="C266" s="8" t="s">
        <v>749</v>
      </c>
      <c r="D266" t="s">
        <v>250</v>
      </c>
      <c r="E266" t="s">
        <v>251</v>
      </c>
      <c r="F266" t="str">
        <f>"12.0410"</f>
        <v>12.0410</v>
      </c>
      <c r="G266" s="8" t="s">
        <v>749</v>
      </c>
    </row>
    <row r="267" spans="1:7" ht="29" x14ac:dyDescent="0.35">
      <c r="A267" t="str">
        <f>"12.0411"</f>
        <v>12.0411</v>
      </c>
      <c r="B267" t="s">
        <v>750</v>
      </c>
      <c r="C267" s="8" t="s">
        <v>751</v>
      </c>
      <c r="D267" t="s">
        <v>250</v>
      </c>
      <c r="E267" t="s">
        <v>251</v>
      </c>
      <c r="F267" t="str">
        <f>"12.0411"</f>
        <v>12.0411</v>
      </c>
      <c r="G267" s="8" t="s">
        <v>751</v>
      </c>
    </row>
    <row r="268" spans="1:7" ht="29" x14ac:dyDescent="0.35">
      <c r="A268" t="str">
        <f>"12.0412"</f>
        <v>12.0412</v>
      </c>
      <c r="B268" t="s">
        <v>752</v>
      </c>
      <c r="C268" s="8" t="s">
        <v>753</v>
      </c>
      <c r="D268" t="s">
        <v>250</v>
      </c>
      <c r="E268" t="s">
        <v>251</v>
      </c>
      <c r="F268" t="str">
        <f>"12.0412"</f>
        <v>12.0412</v>
      </c>
      <c r="G268" s="8" t="s">
        <v>753</v>
      </c>
    </row>
    <row r="269" spans="1:7" ht="29" x14ac:dyDescent="0.35">
      <c r="A269" t="str">
        <f>"12.0413"</f>
        <v>12.0413</v>
      </c>
      <c r="B269" t="s">
        <v>754</v>
      </c>
      <c r="C269" s="8" t="s">
        <v>755</v>
      </c>
      <c r="D269" t="s">
        <v>250</v>
      </c>
      <c r="E269" t="s">
        <v>251</v>
      </c>
      <c r="F269" t="str">
        <f>"12.0413"</f>
        <v>12.0413</v>
      </c>
      <c r="G269" s="8" t="s">
        <v>755</v>
      </c>
    </row>
    <row r="270" spans="1:7" x14ac:dyDescent="0.35">
      <c r="A270" t="str">
        <f>"12.0414"</f>
        <v>12.0414</v>
      </c>
      <c r="B270" t="s">
        <v>756</v>
      </c>
      <c r="C270" s="8" t="s">
        <v>757</v>
      </c>
      <c r="D270" t="s">
        <v>250</v>
      </c>
      <c r="E270" t="s">
        <v>251</v>
      </c>
      <c r="F270" t="str">
        <f>"12.0414"</f>
        <v>12.0414</v>
      </c>
      <c r="G270" s="8" t="s">
        <v>757</v>
      </c>
    </row>
    <row r="271" spans="1:7" ht="29" x14ac:dyDescent="0.35">
      <c r="A271" t="str">
        <f>"12.0499"</f>
        <v>12.0499</v>
      </c>
      <c r="B271" t="s">
        <v>758</v>
      </c>
      <c r="C271" s="8" t="s">
        <v>759</v>
      </c>
      <c r="D271" t="s">
        <v>250</v>
      </c>
      <c r="E271" t="s">
        <v>251</v>
      </c>
      <c r="F271" t="str">
        <f>"12.0499"</f>
        <v>12.0499</v>
      </c>
      <c r="G271" s="8" t="s">
        <v>759</v>
      </c>
    </row>
    <row r="272" spans="1:7" ht="29" x14ac:dyDescent="0.35">
      <c r="A272" t="str">
        <f>"12.0500"</f>
        <v>12.0500</v>
      </c>
      <c r="B272" t="s">
        <v>760</v>
      </c>
      <c r="C272" s="8" t="s">
        <v>761</v>
      </c>
      <c r="D272" t="s">
        <v>250</v>
      </c>
      <c r="E272" t="s">
        <v>251</v>
      </c>
      <c r="F272" t="str">
        <f>"12.0500"</f>
        <v>12.0500</v>
      </c>
      <c r="G272" s="8" t="s">
        <v>761</v>
      </c>
    </row>
    <row r="273" spans="1:7" x14ac:dyDescent="0.35">
      <c r="A273" t="str">
        <f>"12.0501"</f>
        <v>12.0501</v>
      </c>
      <c r="B273" t="s">
        <v>762</v>
      </c>
      <c r="C273" s="8" t="s">
        <v>763</v>
      </c>
      <c r="D273" t="s">
        <v>250</v>
      </c>
      <c r="E273" t="s">
        <v>251</v>
      </c>
      <c r="F273" t="str">
        <f>"12.0501"</f>
        <v>12.0501</v>
      </c>
      <c r="G273" s="8" t="s">
        <v>763</v>
      </c>
    </row>
    <row r="274" spans="1:7" x14ac:dyDescent="0.35">
      <c r="A274" t="str">
        <f>"12.0502"</f>
        <v>12.0502</v>
      </c>
      <c r="B274" t="s">
        <v>764</v>
      </c>
      <c r="C274" s="8" t="s">
        <v>765</v>
      </c>
      <c r="D274" t="s">
        <v>250</v>
      </c>
      <c r="E274" t="s">
        <v>251</v>
      </c>
      <c r="F274" t="str">
        <f>"12.0502"</f>
        <v>12.0502</v>
      </c>
      <c r="G274" s="8" t="s">
        <v>765</v>
      </c>
    </row>
    <row r="275" spans="1:7" x14ac:dyDescent="0.35">
      <c r="A275" t="str">
        <f>"12.0503"</f>
        <v>12.0503</v>
      </c>
      <c r="B275" t="s">
        <v>766</v>
      </c>
      <c r="C275" s="8" t="s">
        <v>767</v>
      </c>
      <c r="D275" t="s">
        <v>250</v>
      </c>
      <c r="E275" t="s">
        <v>251</v>
      </c>
      <c r="F275" t="str">
        <f>"12.0503"</f>
        <v>12.0503</v>
      </c>
      <c r="G275" s="8" t="s">
        <v>767</v>
      </c>
    </row>
    <row r="276" spans="1:7" ht="29" x14ac:dyDescent="0.35">
      <c r="A276" t="str">
        <f>"12.0504"</f>
        <v>12.0504</v>
      </c>
      <c r="B276" t="s">
        <v>768</v>
      </c>
      <c r="C276" s="8" t="s">
        <v>769</v>
      </c>
      <c r="D276" t="s">
        <v>250</v>
      </c>
      <c r="E276" t="s">
        <v>251</v>
      </c>
      <c r="F276" t="str">
        <f>"12.0504"</f>
        <v>12.0504</v>
      </c>
      <c r="G276" s="8" t="s">
        <v>769</v>
      </c>
    </row>
    <row r="277" spans="1:7" ht="29" x14ac:dyDescent="0.35">
      <c r="A277" t="str">
        <f>"12.0505"</f>
        <v>12.0505</v>
      </c>
      <c r="B277" t="s">
        <v>770</v>
      </c>
      <c r="C277" s="8" t="s">
        <v>771</v>
      </c>
      <c r="D277" t="s">
        <v>250</v>
      </c>
      <c r="E277" t="s">
        <v>251</v>
      </c>
      <c r="F277" t="str">
        <f>"12.0505"</f>
        <v>12.0505</v>
      </c>
      <c r="G277" s="8" t="s">
        <v>771</v>
      </c>
    </row>
    <row r="278" spans="1:7" x14ac:dyDescent="0.35">
      <c r="A278" t="str">
        <f>"12.0506"</f>
        <v>12.0506</v>
      </c>
      <c r="B278" t="s">
        <v>772</v>
      </c>
      <c r="C278" s="8" t="s">
        <v>773</v>
      </c>
      <c r="D278" t="s">
        <v>250</v>
      </c>
      <c r="E278" t="s">
        <v>251</v>
      </c>
      <c r="F278" t="str">
        <f>"12.0506"</f>
        <v>12.0506</v>
      </c>
      <c r="G278" s="8" t="s">
        <v>773</v>
      </c>
    </row>
    <row r="279" spans="1:7" ht="29" x14ac:dyDescent="0.35">
      <c r="A279" t="str">
        <f>"12.0507"</f>
        <v>12.0507</v>
      </c>
      <c r="B279" t="s">
        <v>774</v>
      </c>
      <c r="C279" s="8" t="s">
        <v>775</v>
      </c>
      <c r="D279" t="s">
        <v>250</v>
      </c>
      <c r="E279" t="s">
        <v>251</v>
      </c>
      <c r="F279" t="str">
        <f>"12.0507"</f>
        <v>12.0507</v>
      </c>
      <c r="G279" s="8" t="s">
        <v>775</v>
      </c>
    </row>
    <row r="280" spans="1:7" x14ac:dyDescent="0.35">
      <c r="A280" t="str">
        <f>"12.0508"</f>
        <v>12.0508</v>
      </c>
      <c r="B280" t="s">
        <v>776</v>
      </c>
      <c r="C280" s="8" t="s">
        <v>777</v>
      </c>
      <c r="D280" t="s">
        <v>250</v>
      </c>
      <c r="E280" t="s">
        <v>251</v>
      </c>
      <c r="F280" t="str">
        <f>"12.0508"</f>
        <v>12.0508</v>
      </c>
      <c r="G280" s="8" t="s">
        <v>777</v>
      </c>
    </row>
    <row r="281" spans="1:7" x14ac:dyDescent="0.35">
      <c r="A281" t="str">
        <f>"12.0509"</f>
        <v>12.0509</v>
      </c>
      <c r="B281" t="s">
        <v>778</v>
      </c>
      <c r="C281" s="8" t="s">
        <v>779</v>
      </c>
      <c r="D281" t="s">
        <v>250</v>
      </c>
      <c r="E281" t="s">
        <v>251</v>
      </c>
      <c r="F281" t="str">
        <f>"12.0509"</f>
        <v>12.0509</v>
      </c>
      <c r="G281" s="8" t="s">
        <v>779</v>
      </c>
    </row>
    <row r="282" spans="1:7" x14ac:dyDescent="0.35">
      <c r="A282" t="str">
        <f>"12.0510"</f>
        <v>12.0510</v>
      </c>
      <c r="B282" t="s">
        <v>780</v>
      </c>
      <c r="C282" s="8" t="s">
        <v>781</v>
      </c>
      <c r="D282" t="s">
        <v>250</v>
      </c>
      <c r="E282" t="s">
        <v>251</v>
      </c>
      <c r="F282" t="str">
        <f>"12.0510"</f>
        <v>12.0510</v>
      </c>
      <c r="G282" s="8" t="s">
        <v>781</v>
      </c>
    </row>
    <row r="283" spans="1:7" x14ac:dyDescent="0.35">
      <c r="D283" t="s">
        <v>275</v>
      </c>
      <c r="E283" t="s">
        <v>251</v>
      </c>
      <c r="F283" t="str">
        <f>"12.0580"</f>
        <v>12.0580</v>
      </c>
      <c r="G283" s="8" t="s">
        <v>301</v>
      </c>
    </row>
    <row r="284" spans="1:7" x14ac:dyDescent="0.35">
      <c r="A284" t="str">
        <f>"12.0599"</f>
        <v>12.0599</v>
      </c>
      <c r="B284" t="s">
        <v>782</v>
      </c>
      <c r="C284" s="8" t="s">
        <v>783</v>
      </c>
      <c r="D284" t="s">
        <v>250</v>
      </c>
      <c r="E284" t="s">
        <v>251</v>
      </c>
      <c r="F284" t="str">
        <f>"12.0599"</f>
        <v>12.0599</v>
      </c>
      <c r="G284" s="8" t="s">
        <v>783</v>
      </c>
    </row>
    <row r="285" spans="1:7" x14ac:dyDescent="0.35">
      <c r="D285" t="s">
        <v>275</v>
      </c>
      <c r="E285" t="s">
        <v>251</v>
      </c>
      <c r="F285" t="str">
        <f>"12.0601"</f>
        <v>12.0601</v>
      </c>
      <c r="G285" s="8" t="s">
        <v>784</v>
      </c>
    </row>
    <row r="286" spans="1:7" x14ac:dyDescent="0.35">
      <c r="D286" t="s">
        <v>275</v>
      </c>
      <c r="E286" t="s">
        <v>251</v>
      </c>
      <c r="F286" t="str">
        <f>"12.0602"</f>
        <v>12.0602</v>
      </c>
      <c r="G286" s="8" t="s">
        <v>785</v>
      </c>
    </row>
    <row r="287" spans="1:7" x14ac:dyDescent="0.35">
      <c r="D287" t="s">
        <v>275</v>
      </c>
      <c r="E287" t="s">
        <v>251</v>
      </c>
      <c r="F287" t="str">
        <f>"12.0699"</f>
        <v>12.0699</v>
      </c>
      <c r="G287" s="8" t="s">
        <v>786</v>
      </c>
    </row>
    <row r="288" spans="1:7" ht="29" x14ac:dyDescent="0.35">
      <c r="A288" t="str">
        <f>"12.9999"</f>
        <v>12.9999</v>
      </c>
      <c r="B288" t="s">
        <v>787</v>
      </c>
      <c r="C288" s="8" t="s">
        <v>788</v>
      </c>
      <c r="D288" t="s">
        <v>250</v>
      </c>
      <c r="E288" t="s">
        <v>264</v>
      </c>
      <c r="F288" t="str">
        <f>"12.9999"</f>
        <v>12.9999</v>
      </c>
      <c r="G288" s="8" t="s">
        <v>789</v>
      </c>
    </row>
    <row r="289" spans="1:7" x14ac:dyDescent="0.35">
      <c r="A289" t="str">
        <f>"13.0101"</f>
        <v>13.0101</v>
      </c>
      <c r="B289" t="s">
        <v>790</v>
      </c>
      <c r="C289" s="8" t="s">
        <v>791</v>
      </c>
      <c r="D289" t="s">
        <v>250</v>
      </c>
      <c r="E289" t="s">
        <v>251</v>
      </c>
      <c r="F289" t="str">
        <f>"13.0101"</f>
        <v>13.0101</v>
      </c>
      <c r="G289" s="8" t="s">
        <v>791</v>
      </c>
    </row>
    <row r="290" spans="1:7" x14ac:dyDescent="0.35">
      <c r="A290" t="str">
        <f>"13.0201"</f>
        <v>13.0201</v>
      </c>
      <c r="B290" t="s">
        <v>792</v>
      </c>
      <c r="C290" s="8" t="s">
        <v>793</v>
      </c>
      <c r="D290" t="s">
        <v>250</v>
      </c>
      <c r="E290" t="s">
        <v>251</v>
      </c>
      <c r="F290" t="str">
        <f>"13.0201"</f>
        <v>13.0201</v>
      </c>
      <c r="G290" s="8" t="s">
        <v>793</v>
      </c>
    </row>
    <row r="291" spans="1:7" x14ac:dyDescent="0.35">
      <c r="A291" t="str">
        <f>"13.0202"</f>
        <v>13.0202</v>
      </c>
      <c r="B291" t="s">
        <v>794</v>
      </c>
      <c r="C291" s="8" t="s">
        <v>795</v>
      </c>
      <c r="D291" t="s">
        <v>250</v>
      </c>
      <c r="E291" t="s">
        <v>251</v>
      </c>
      <c r="F291" t="str">
        <f>"13.0202"</f>
        <v>13.0202</v>
      </c>
      <c r="G291" s="8" t="s">
        <v>795</v>
      </c>
    </row>
    <row r="292" spans="1:7" x14ac:dyDescent="0.35">
      <c r="A292" t="str">
        <f>"13.0203"</f>
        <v>13.0203</v>
      </c>
      <c r="B292" t="s">
        <v>796</v>
      </c>
      <c r="C292" s="8" t="s">
        <v>797</v>
      </c>
      <c r="D292" t="s">
        <v>250</v>
      </c>
      <c r="E292" t="s">
        <v>251</v>
      </c>
      <c r="F292" t="str">
        <f>"13.0203"</f>
        <v>13.0203</v>
      </c>
      <c r="G292" s="8" t="s">
        <v>797</v>
      </c>
    </row>
    <row r="293" spans="1:7" ht="29" x14ac:dyDescent="0.35">
      <c r="A293" t="str">
        <f>"13.0299"</f>
        <v>13.0299</v>
      </c>
      <c r="B293" t="s">
        <v>798</v>
      </c>
      <c r="C293" s="8" t="s">
        <v>799</v>
      </c>
      <c r="D293" t="s">
        <v>250</v>
      </c>
      <c r="E293" t="s">
        <v>251</v>
      </c>
      <c r="F293" t="str">
        <f>"13.0299"</f>
        <v>13.0299</v>
      </c>
      <c r="G293" s="8" t="s">
        <v>799</v>
      </c>
    </row>
    <row r="294" spans="1:7" x14ac:dyDescent="0.35">
      <c r="A294" t="str">
        <f>"13.0301"</f>
        <v>13.0301</v>
      </c>
      <c r="B294" t="s">
        <v>800</v>
      </c>
      <c r="C294" s="8" t="s">
        <v>801</v>
      </c>
      <c r="D294" t="s">
        <v>250</v>
      </c>
      <c r="E294" t="s">
        <v>251</v>
      </c>
      <c r="F294" t="str">
        <f>"13.0301"</f>
        <v>13.0301</v>
      </c>
      <c r="G294" s="8" t="s">
        <v>801</v>
      </c>
    </row>
    <row r="295" spans="1:7" ht="29" x14ac:dyDescent="0.35">
      <c r="A295" t="str">
        <f>"13.0401"</f>
        <v>13.0401</v>
      </c>
      <c r="B295" t="s">
        <v>802</v>
      </c>
      <c r="C295" s="8" t="s">
        <v>803</v>
      </c>
      <c r="D295" t="s">
        <v>250</v>
      </c>
      <c r="E295" t="s">
        <v>251</v>
      </c>
      <c r="F295" t="str">
        <f>"13.0401"</f>
        <v>13.0401</v>
      </c>
      <c r="G295" s="8" t="s">
        <v>803</v>
      </c>
    </row>
    <row r="296" spans="1:7" x14ac:dyDescent="0.35">
      <c r="A296" t="str">
        <f>"13.0402"</f>
        <v>13.0402</v>
      </c>
      <c r="B296" t="s">
        <v>804</v>
      </c>
      <c r="C296" s="8" t="s">
        <v>805</v>
      </c>
      <c r="D296" t="s">
        <v>250</v>
      </c>
      <c r="E296" t="s">
        <v>251</v>
      </c>
      <c r="F296" t="str">
        <f>"13.0402"</f>
        <v>13.0402</v>
      </c>
      <c r="G296" s="8" t="s">
        <v>805</v>
      </c>
    </row>
    <row r="297" spans="1:7" ht="29" x14ac:dyDescent="0.35">
      <c r="A297" t="str">
        <f>"13.0403"</f>
        <v>13.0403</v>
      </c>
      <c r="B297" t="s">
        <v>806</v>
      </c>
      <c r="C297" s="8" t="s">
        <v>807</v>
      </c>
      <c r="D297" t="s">
        <v>250</v>
      </c>
      <c r="E297" t="s">
        <v>251</v>
      </c>
      <c r="F297" t="str">
        <f>"13.0403"</f>
        <v>13.0403</v>
      </c>
      <c r="G297" s="8" t="s">
        <v>807</v>
      </c>
    </row>
    <row r="298" spans="1:7" ht="29" x14ac:dyDescent="0.35">
      <c r="A298" t="str">
        <f>"13.0404"</f>
        <v>13.0404</v>
      </c>
      <c r="B298" t="s">
        <v>808</v>
      </c>
      <c r="C298" s="8" t="s">
        <v>809</v>
      </c>
      <c r="D298" t="s">
        <v>250</v>
      </c>
      <c r="E298" t="s">
        <v>251</v>
      </c>
      <c r="F298" t="str">
        <f>"13.0404"</f>
        <v>13.0404</v>
      </c>
      <c r="G298" s="8" t="s">
        <v>809</v>
      </c>
    </row>
    <row r="299" spans="1:7" ht="29" x14ac:dyDescent="0.35">
      <c r="A299" t="str">
        <f>"13.0406"</f>
        <v>13.0406</v>
      </c>
      <c r="B299" t="s">
        <v>810</v>
      </c>
      <c r="C299" s="8" t="s">
        <v>811</v>
      </c>
      <c r="D299" t="s">
        <v>250</v>
      </c>
      <c r="E299" t="s">
        <v>251</v>
      </c>
      <c r="F299" t="str">
        <f>"13.0406"</f>
        <v>13.0406</v>
      </c>
      <c r="G299" s="8" t="s">
        <v>811</v>
      </c>
    </row>
    <row r="300" spans="1:7" x14ac:dyDescent="0.35">
      <c r="A300" t="str">
        <f>"13.0407"</f>
        <v>13.0407</v>
      </c>
      <c r="B300" t="s">
        <v>812</v>
      </c>
      <c r="C300" s="8" t="s">
        <v>813</v>
      </c>
      <c r="D300" t="s">
        <v>250</v>
      </c>
      <c r="E300" t="s">
        <v>264</v>
      </c>
      <c r="F300" t="str">
        <f>"13.0407"</f>
        <v>13.0407</v>
      </c>
      <c r="G300" s="8" t="s">
        <v>814</v>
      </c>
    </row>
    <row r="301" spans="1:7" ht="29" x14ac:dyDescent="0.35">
      <c r="A301" t="str">
        <f>"13.0408"</f>
        <v>13.0408</v>
      </c>
      <c r="B301" t="s">
        <v>815</v>
      </c>
      <c r="C301" s="8" t="s">
        <v>816</v>
      </c>
      <c r="D301" t="s">
        <v>250</v>
      </c>
      <c r="E301" t="s">
        <v>251</v>
      </c>
      <c r="F301" t="str">
        <f>"13.0408"</f>
        <v>13.0408</v>
      </c>
      <c r="G301" s="8" t="s">
        <v>816</v>
      </c>
    </row>
    <row r="302" spans="1:7" ht="29" x14ac:dyDescent="0.35">
      <c r="A302" t="str">
        <f>"13.0409"</f>
        <v>13.0409</v>
      </c>
      <c r="B302" t="s">
        <v>817</v>
      </c>
      <c r="C302" s="8" t="s">
        <v>818</v>
      </c>
      <c r="D302" t="s">
        <v>250</v>
      </c>
      <c r="E302" t="s">
        <v>251</v>
      </c>
      <c r="F302" t="str">
        <f>"13.0409"</f>
        <v>13.0409</v>
      </c>
      <c r="G302" s="8" t="s">
        <v>818</v>
      </c>
    </row>
    <row r="303" spans="1:7" x14ac:dyDescent="0.35">
      <c r="A303" t="str">
        <f>"13.0410"</f>
        <v>13.0410</v>
      </c>
      <c r="B303" t="s">
        <v>819</v>
      </c>
      <c r="C303" s="8" t="s">
        <v>820</v>
      </c>
      <c r="D303" t="s">
        <v>250</v>
      </c>
      <c r="E303" t="s">
        <v>251</v>
      </c>
      <c r="F303" t="str">
        <f>"13.0410"</f>
        <v>13.0410</v>
      </c>
      <c r="G303" s="8" t="s">
        <v>820</v>
      </c>
    </row>
    <row r="304" spans="1:7" ht="29" x14ac:dyDescent="0.35">
      <c r="A304" t="str">
        <f>"13.0411"</f>
        <v>13.0411</v>
      </c>
      <c r="B304" t="s">
        <v>821</v>
      </c>
      <c r="C304" s="8" t="s">
        <v>822</v>
      </c>
      <c r="D304" t="s">
        <v>250</v>
      </c>
      <c r="E304" t="s">
        <v>251</v>
      </c>
      <c r="F304" t="str">
        <f>"13.0411"</f>
        <v>13.0411</v>
      </c>
      <c r="G304" s="8" t="s">
        <v>822</v>
      </c>
    </row>
    <row r="305" spans="1:7" x14ac:dyDescent="0.35">
      <c r="D305" t="s">
        <v>275</v>
      </c>
      <c r="E305" t="s">
        <v>251</v>
      </c>
      <c r="F305" t="str">
        <f>"13.0412"</f>
        <v>13.0412</v>
      </c>
      <c r="G305" s="8" t="s">
        <v>823</v>
      </c>
    </row>
    <row r="306" spans="1:7" x14ac:dyDescent="0.35">
      <c r="D306" t="s">
        <v>275</v>
      </c>
      <c r="E306" t="s">
        <v>251</v>
      </c>
      <c r="F306" t="str">
        <f>"13.0413"</f>
        <v>13.0413</v>
      </c>
      <c r="G306" s="8" t="s">
        <v>824</v>
      </c>
    </row>
    <row r="307" spans="1:7" x14ac:dyDescent="0.35">
      <c r="D307" t="s">
        <v>275</v>
      </c>
      <c r="E307" t="s">
        <v>251</v>
      </c>
      <c r="F307" t="str">
        <f>"13.0414"</f>
        <v>13.0414</v>
      </c>
      <c r="G307" s="8" t="s">
        <v>825</v>
      </c>
    </row>
    <row r="308" spans="1:7" ht="29" x14ac:dyDescent="0.35">
      <c r="A308" t="str">
        <f>"13.0499"</f>
        <v>13.0499</v>
      </c>
      <c r="B308" t="s">
        <v>826</v>
      </c>
      <c r="C308" s="8" t="s">
        <v>827</v>
      </c>
      <c r="D308" t="s">
        <v>250</v>
      </c>
      <c r="E308" t="s">
        <v>251</v>
      </c>
      <c r="F308" t="str">
        <f>"13.0499"</f>
        <v>13.0499</v>
      </c>
      <c r="G308" s="8" t="s">
        <v>827</v>
      </c>
    </row>
    <row r="309" spans="1:7" x14ac:dyDescent="0.35">
      <c r="A309" t="str">
        <f>"13.0501"</f>
        <v>13.0501</v>
      </c>
      <c r="B309" t="s">
        <v>828</v>
      </c>
      <c r="C309" s="8" t="s">
        <v>829</v>
      </c>
      <c r="D309" t="s">
        <v>250</v>
      </c>
      <c r="E309" t="s">
        <v>251</v>
      </c>
      <c r="F309" t="str">
        <f>"13.0501"</f>
        <v>13.0501</v>
      </c>
      <c r="G309" s="8" t="s">
        <v>829</v>
      </c>
    </row>
    <row r="310" spans="1:7" x14ac:dyDescent="0.35">
      <c r="A310" t="str">
        <f>"13.0601"</f>
        <v>13.0601</v>
      </c>
      <c r="B310" t="s">
        <v>830</v>
      </c>
      <c r="C310" s="8" t="s">
        <v>831</v>
      </c>
      <c r="D310" t="s">
        <v>250</v>
      </c>
      <c r="E310" t="s">
        <v>251</v>
      </c>
      <c r="F310" t="str">
        <f>"13.0601"</f>
        <v>13.0601</v>
      </c>
      <c r="G310" s="8" t="s">
        <v>831</v>
      </c>
    </row>
    <row r="311" spans="1:7" ht="29" x14ac:dyDescent="0.35">
      <c r="A311" t="str">
        <f>"13.0603"</f>
        <v>13.0603</v>
      </c>
      <c r="B311" t="s">
        <v>832</v>
      </c>
      <c r="C311" s="8" t="s">
        <v>833</v>
      </c>
      <c r="D311" t="s">
        <v>250</v>
      </c>
      <c r="E311" t="s">
        <v>251</v>
      </c>
      <c r="F311" t="str">
        <f>"13.0603"</f>
        <v>13.0603</v>
      </c>
      <c r="G311" s="8" t="s">
        <v>833</v>
      </c>
    </row>
    <row r="312" spans="1:7" ht="29" x14ac:dyDescent="0.35">
      <c r="A312" t="str">
        <f>"13.0604"</f>
        <v>13.0604</v>
      </c>
      <c r="B312" t="s">
        <v>834</v>
      </c>
      <c r="C312" s="8" t="s">
        <v>835</v>
      </c>
      <c r="D312" t="s">
        <v>250</v>
      </c>
      <c r="E312" t="s">
        <v>251</v>
      </c>
      <c r="F312" t="str">
        <f>"13.0604"</f>
        <v>13.0604</v>
      </c>
      <c r="G312" s="8" t="s">
        <v>835</v>
      </c>
    </row>
    <row r="313" spans="1:7" x14ac:dyDescent="0.35">
      <c r="A313" t="str">
        <f>"13.0607"</f>
        <v>13.0607</v>
      </c>
      <c r="B313" t="s">
        <v>836</v>
      </c>
      <c r="C313" s="8" t="s">
        <v>837</v>
      </c>
      <c r="D313" t="s">
        <v>250</v>
      </c>
      <c r="E313" t="s">
        <v>251</v>
      </c>
      <c r="F313" t="str">
        <f>"13.0607"</f>
        <v>13.0607</v>
      </c>
      <c r="G313" s="8" t="s">
        <v>837</v>
      </c>
    </row>
    <row r="314" spans="1:7" x14ac:dyDescent="0.35">
      <c r="D314" t="s">
        <v>275</v>
      </c>
      <c r="E314" t="s">
        <v>251</v>
      </c>
      <c r="F314" t="str">
        <f>"13.0608"</f>
        <v>13.0608</v>
      </c>
      <c r="G314" s="8" t="s">
        <v>838</v>
      </c>
    </row>
    <row r="315" spans="1:7" ht="29" x14ac:dyDescent="0.35">
      <c r="A315" t="str">
        <f>"13.0699"</f>
        <v>13.0699</v>
      </c>
      <c r="B315" t="s">
        <v>839</v>
      </c>
      <c r="C315" s="8" t="s">
        <v>840</v>
      </c>
      <c r="D315" t="s">
        <v>250</v>
      </c>
      <c r="E315" t="s">
        <v>251</v>
      </c>
      <c r="F315" t="str">
        <f>"13.0699"</f>
        <v>13.0699</v>
      </c>
      <c r="G315" s="8" t="s">
        <v>840</v>
      </c>
    </row>
    <row r="316" spans="1:7" x14ac:dyDescent="0.35">
      <c r="A316" t="str">
        <f>"13.0701"</f>
        <v>13.0701</v>
      </c>
      <c r="B316" t="s">
        <v>841</v>
      </c>
      <c r="C316" s="8" t="s">
        <v>842</v>
      </c>
      <c r="D316" t="s">
        <v>250</v>
      </c>
      <c r="E316" t="s">
        <v>251</v>
      </c>
      <c r="F316" t="str">
        <f>"13.0701"</f>
        <v>13.0701</v>
      </c>
      <c r="G316" s="8" t="s">
        <v>842</v>
      </c>
    </row>
    <row r="317" spans="1:7" ht="29" x14ac:dyDescent="0.35">
      <c r="A317" t="str">
        <f>"13.0901"</f>
        <v>13.0901</v>
      </c>
      <c r="B317" t="s">
        <v>843</v>
      </c>
      <c r="C317" s="8" t="s">
        <v>844</v>
      </c>
      <c r="D317" t="s">
        <v>250</v>
      </c>
      <c r="E317" t="s">
        <v>251</v>
      </c>
      <c r="F317" t="str">
        <f>"13.0901"</f>
        <v>13.0901</v>
      </c>
      <c r="G317" s="8" t="s">
        <v>844</v>
      </c>
    </row>
    <row r="318" spans="1:7" x14ac:dyDescent="0.35">
      <c r="A318" t="str">
        <f>"13.1001"</f>
        <v>13.1001</v>
      </c>
      <c r="B318" t="s">
        <v>845</v>
      </c>
      <c r="C318" s="8" t="s">
        <v>846</v>
      </c>
      <c r="D318" t="s">
        <v>250</v>
      </c>
      <c r="E318" t="s">
        <v>264</v>
      </c>
      <c r="F318" t="str">
        <f>"13.1001"</f>
        <v>13.1001</v>
      </c>
      <c r="G318" s="8" t="s">
        <v>846</v>
      </c>
    </row>
    <row r="319" spans="1:7" ht="29" x14ac:dyDescent="0.35">
      <c r="A319" t="str">
        <f>"13.1003"</f>
        <v>13.1003</v>
      </c>
      <c r="B319" t="s">
        <v>847</v>
      </c>
      <c r="C319" s="8" t="s">
        <v>848</v>
      </c>
      <c r="D319" t="s">
        <v>250</v>
      </c>
      <c r="E319" t="s">
        <v>251</v>
      </c>
      <c r="F319" t="str">
        <f>"13.1003"</f>
        <v>13.1003</v>
      </c>
      <c r="G319" s="8" t="s">
        <v>848</v>
      </c>
    </row>
    <row r="320" spans="1:7" ht="29" x14ac:dyDescent="0.35">
      <c r="A320" t="str">
        <f>"13.1004"</f>
        <v>13.1004</v>
      </c>
      <c r="B320" t="s">
        <v>849</v>
      </c>
      <c r="C320" s="8" t="s">
        <v>850</v>
      </c>
      <c r="D320" t="s">
        <v>250</v>
      </c>
      <c r="E320" t="s">
        <v>251</v>
      </c>
      <c r="F320" t="str">
        <f>"13.1004"</f>
        <v>13.1004</v>
      </c>
      <c r="G320" s="8" t="s">
        <v>850</v>
      </c>
    </row>
    <row r="321" spans="1:7" ht="29" x14ac:dyDescent="0.35">
      <c r="A321" t="str">
        <f>"13.1005"</f>
        <v>13.1005</v>
      </c>
      <c r="B321" t="s">
        <v>851</v>
      </c>
      <c r="C321" s="8" t="s">
        <v>852</v>
      </c>
      <c r="D321" t="s">
        <v>250</v>
      </c>
      <c r="E321" t="s">
        <v>264</v>
      </c>
      <c r="F321" t="str">
        <f>"13.1005"</f>
        <v>13.1005</v>
      </c>
      <c r="G321" s="8" t="s">
        <v>852</v>
      </c>
    </row>
    <row r="322" spans="1:7" ht="29" x14ac:dyDescent="0.35">
      <c r="A322" t="str">
        <f>"13.1006"</f>
        <v>13.1006</v>
      </c>
      <c r="B322" t="s">
        <v>853</v>
      </c>
      <c r="C322" s="8" t="s">
        <v>854</v>
      </c>
      <c r="D322" t="s">
        <v>250</v>
      </c>
      <c r="E322" t="s">
        <v>264</v>
      </c>
      <c r="F322" t="str">
        <f>"13.1006"</f>
        <v>13.1006</v>
      </c>
      <c r="G322" s="8" t="s">
        <v>855</v>
      </c>
    </row>
    <row r="323" spans="1:7" ht="29" x14ac:dyDescent="0.35">
      <c r="A323" t="str">
        <f>"13.1007"</f>
        <v>13.1007</v>
      </c>
      <c r="B323" t="s">
        <v>856</v>
      </c>
      <c r="C323" s="8" t="s">
        <v>857</v>
      </c>
      <c r="D323" t="s">
        <v>250</v>
      </c>
      <c r="E323" t="s">
        <v>251</v>
      </c>
      <c r="F323" t="str">
        <f>"13.1007"</f>
        <v>13.1007</v>
      </c>
      <c r="G323" s="8" t="s">
        <v>857</v>
      </c>
    </row>
    <row r="324" spans="1:7" ht="43.5" x14ac:dyDescent="0.35">
      <c r="A324" t="str">
        <f>"13.1008"</f>
        <v>13.1008</v>
      </c>
      <c r="B324" t="s">
        <v>858</v>
      </c>
      <c r="C324" s="8" t="s">
        <v>859</v>
      </c>
      <c r="D324" t="s">
        <v>250</v>
      </c>
      <c r="E324" t="s">
        <v>251</v>
      </c>
      <c r="F324" t="str">
        <f>"13.1008"</f>
        <v>13.1008</v>
      </c>
      <c r="G324" s="8" t="s">
        <v>859</v>
      </c>
    </row>
    <row r="325" spans="1:7" ht="29" x14ac:dyDescent="0.35">
      <c r="A325" t="str">
        <f>"13.1009"</f>
        <v>13.1009</v>
      </c>
      <c r="B325" t="s">
        <v>860</v>
      </c>
      <c r="C325" s="8" t="s">
        <v>861</v>
      </c>
      <c r="D325" t="s">
        <v>250</v>
      </c>
      <c r="E325" t="s">
        <v>251</v>
      </c>
      <c r="F325" t="str">
        <f>"13.1009"</f>
        <v>13.1009</v>
      </c>
      <c r="G325" s="8" t="s">
        <v>861</v>
      </c>
    </row>
    <row r="326" spans="1:7" ht="29" x14ac:dyDescent="0.35">
      <c r="A326" t="str">
        <f>"13.1011"</f>
        <v>13.1011</v>
      </c>
      <c r="B326" t="s">
        <v>862</v>
      </c>
      <c r="C326" s="8" t="s">
        <v>863</v>
      </c>
      <c r="D326" t="s">
        <v>250</v>
      </c>
      <c r="E326" t="s">
        <v>251</v>
      </c>
      <c r="F326" t="str">
        <f>"13.1011"</f>
        <v>13.1011</v>
      </c>
      <c r="G326" s="8" t="s">
        <v>863</v>
      </c>
    </row>
    <row r="327" spans="1:7" ht="29" x14ac:dyDescent="0.35">
      <c r="A327" t="str">
        <f>"13.1012"</f>
        <v>13.1012</v>
      </c>
      <c r="B327" t="s">
        <v>864</v>
      </c>
      <c r="C327" s="8" t="s">
        <v>865</v>
      </c>
      <c r="D327" t="s">
        <v>250</v>
      </c>
      <c r="E327" t="s">
        <v>251</v>
      </c>
      <c r="F327" t="str">
        <f>"13.1012"</f>
        <v>13.1012</v>
      </c>
      <c r="G327" s="8" t="s">
        <v>865</v>
      </c>
    </row>
    <row r="328" spans="1:7" ht="29" x14ac:dyDescent="0.35">
      <c r="A328" t="str">
        <f>"13.1013"</f>
        <v>13.1013</v>
      </c>
      <c r="B328" t="s">
        <v>866</v>
      </c>
      <c r="C328" s="8" t="s">
        <v>867</v>
      </c>
      <c r="D328" t="s">
        <v>250</v>
      </c>
      <c r="E328" t="s">
        <v>251</v>
      </c>
      <c r="F328" t="str">
        <f>"13.1013"</f>
        <v>13.1013</v>
      </c>
      <c r="G328" s="8" t="s">
        <v>867</v>
      </c>
    </row>
    <row r="329" spans="1:7" ht="29" x14ac:dyDescent="0.35">
      <c r="A329" t="str">
        <f>"13.1014"</f>
        <v>13.1014</v>
      </c>
      <c r="B329" t="s">
        <v>868</v>
      </c>
      <c r="C329" s="8" t="s">
        <v>869</v>
      </c>
      <c r="D329" t="s">
        <v>250</v>
      </c>
      <c r="E329" t="s">
        <v>251</v>
      </c>
      <c r="F329" t="str">
        <f>"13.1014"</f>
        <v>13.1014</v>
      </c>
      <c r="G329" s="8" t="s">
        <v>869</v>
      </c>
    </row>
    <row r="330" spans="1:7" ht="29" x14ac:dyDescent="0.35">
      <c r="A330" t="str">
        <f>"13.1015"</f>
        <v>13.1015</v>
      </c>
      <c r="B330" t="s">
        <v>870</v>
      </c>
      <c r="C330" s="8" t="s">
        <v>871</v>
      </c>
      <c r="D330" t="s">
        <v>250</v>
      </c>
      <c r="E330" t="s">
        <v>251</v>
      </c>
      <c r="F330" t="str">
        <f>"13.1015"</f>
        <v>13.1015</v>
      </c>
      <c r="G330" s="8" t="s">
        <v>871</v>
      </c>
    </row>
    <row r="331" spans="1:7" ht="29" x14ac:dyDescent="0.35">
      <c r="A331" t="str">
        <f>"13.1016"</f>
        <v>13.1016</v>
      </c>
      <c r="B331" t="s">
        <v>872</v>
      </c>
      <c r="C331" s="8" t="s">
        <v>873</v>
      </c>
      <c r="D331" t="s">
        <v>250</v>
      </c>
      <c r="E331" t="s">
        <v>251</v>
      </c>
      <c r="F331" t="str">
        <f>"13.1016"</f>
        <v>13.1016</v>
      </c>
      <c r="G331" s="8" t="s">
        <v>873</v>
      </c>
    </row>
    <row r="332" spans="1:7" ht="29" x14ac:dyDescent="0.35">
      <c r="A332" t="str">
        <f>"13.1017"</f>
        <v>13.1017</v>
      </c>
      <c r="B332" t="s">
        <v>874</v>
      </c>
      <c r="C332" s="8" t="s">
        <v>875</v>
      </c>
      <c r="D332" t="s">
        <v>250</v>
      </c>
      <c r="E332" t="s">
        <v>251</v>
      </c>
      <c r="F332" t="str">
        <f>"13.1017"</f>
        <v>13.1017</v>
      </c>
      <c r="G332" s="8" t="s">
        <v>875</v>
      </c>
    </row>
    <row r="333" spans="1:7" ht="43.5" x14ac:dyDescent="0.35">
      <c r="A333" t="str">
        <f>"13.1018"</f>
        <v>13.1018</v>
      </c>
      <c r="B333" t="s">
        <v>876</v>
      </c>
      <c r="C333" s="8" t="s">
        <v>877</v>
      </c>
      <c r="D333" t="s">
        <v>250</v>
      </c>
      <c r="E333" t="s">
        <v>251</v>
      </c>
      <c r="F333" t="str">
        <f>"13.1018"</f>
        <v>13.1018</v>
      </c>
      <c r="G333" s="8" t="s">
        <v>877</v>
      </c>
    </row>
    <row r="334" spans="1:7" ht="29" x14ac:dyDescent="0.35">
      <c r="A334" t="str">
        <f>"13.1019"</f>
        <v>13.1019</v>
      </c>
      <c r="B334" t="s">
        <v>878</v>
      </c>
      <c r="C334" s="8" t="s">
        <v>879</v>
      </c>
      <c r="D334" t="s">
        <v>250</v>
      </c>
      <c r="E334" t="s">
        <v>251</v>
      </c>
      <c r="F334" t="str">
        <f>"13.1019"</f>
        <v>13.1019</v>
      </c>
      <c r="G334" s="8" t="s">
        <v>879</v>
      </c>
    </row>
    <row r="335" spans="1:7" x14ac:dyDescent="0.35">
      <c r="A335" t="str">
        <f>"13.1099"</f>
        <v>13.1099</v>
      </c>
      <c r="B335" t="s">
        <v>880</v>
      </c>
      <c r="C335" s="8" t="s">
        <v>881</v>
      </c>
      <c r="D335" t="s">
        <v>250</v>
      </c>
      <c r="E335" t="s">
        <v>251</v>
      </c>
      <c r="F335" t="str">
        <f>"13.1099"</f>
        <v>13.1099</v>
      </c>
      <c r="G335" s="8" t="s">
        <v>881</v>
      </c>
    </row>
    <row r="336" spans="1:7" ht="29" x14ac:dyDescent="0.35">
      <c r="A336" t="str">
        <f>"13.1101"</f>
        <v>13.1101</v>
      </c>
      <c r="B336" t="s">
        <v>882</v>
      </c>
      <c r="C336" s="8" t="s">
        <v>883</v>
      </c>
      <c r="D336" t="s">
        <v>250</v>
      </c>
      <c r="E336" t="s">
        <v>251</v>
      </c>
      <c r="F336" t="str">
        <f>"13.1101"</f>
        <v>13.1101</v>
      </c>
      <c r="G336" s="8" t="s">
        <v>883</v>
      </c>
    </row>
    <row r="337" spans="1:7" ht="29" x14ac:dyDescent="0.35">
      <c r="A337" t="str">
        <f>"13.1102"</f>
        <v>13.1102</v>
      </c>
      <c r="B337" t="s">
        <v>884</v>
      </c>
      <c r="C337" s="8" t="s">
        <v>885</v>
      </c>
      <c r="D337" t="s">
        <v>250</v>
      </c>
      <c r="E337" t="s">
        <v>251</v>
      </c>
      <c r="F337" t="str">
        <f>"13.1102"</f>
        <v>13.1102</v>
      </c>
      <c r="G337" s="8" t="s">
        <v>885</v>
      </c>
    </row>
    <row r="338" spans="1:7" ht="29" x14ac:dyDescent="0.35">
      <c r="A338" t="str">
        <f>"13.1199"</f>
        <v>13.1199</v>
      </c>
      <c r="B338" t="s">
        <v>886</v>
      </c>
      <c r="C338" s="8" t="s">
        <v>887</v>
      </c>
      <c r="D338" t="s">
        <v>250</v>
      </c>
      <c r="E338" t="s">
        <v>251</v>
      </c>
      <c r="F338" t="str">
        <f>"13.1199"</f>
        <v>13.1199</v>
      </c>
      <c r="G338" s="8" t="s">
        <v>887</v>
      </c>
    </row>
    <row r="339" spans="1:7" ht="29" x14ac:dyDescent="0.35">
      <c r="A339" t="str">
        <f>"13.1201"</f>
        <v>13.1201</v>
      </c>
      <c r="B339" t="s">
        <v>888</v>
      </c>
      <c r="C339" s="8" t="s">
        <v>889</v>
      </c>
      <c r="D339" t="s">
        <v>250</v>
      </c>
      <c r="E339" t="s">
        <v>251</v>
      </c>
      <c r="F339" t="str">
        <f>"13.1201"</f>
        <v>13.1201</v>
      </c>
      <c r="G339" s="8" t="s">
        <v>889</v>
      </c>
    </row>
    <row r="340" spans="1:7" x14ac:dyDescent="0.35">
      <c r="A340" t="str">
        <f>"13.1202"</f>
        <v>13.1202</v>
      </c>
      <c r="B340" t="s">
        <v>890</v>
      </c>
      <c r="C340" s="8" t="s">
        <v>891</v>
      </c>
      <c r="D340" t="s">
        <v>250</v>
      </c>
      <c r="E340" t="s">
        <v>251</v>
      </c>
      <c r="F340" t="str">
        <f>"13.1202"</f>
        <v>13.1202</v>
      </c>
      <c r="G340" s="8" t="s">
        <v>891</v>
      </c>
    </row>
    <row r="341" spans="1:7" ht="29" x14ac:dyDescent="0.35">
      <c r="A341" t="str">
        <f>"13.1203"</f>
        <v>13.1203</v>
      </c>
      <c r="B341" t="s">
        <v>892</v>
      </c>
      <c r="C341" s="8" t="s">
        <v>893</v>
      </c>
      <c r="D341" t="s">
        <v>250</v>
      </c>
      <c r="E341" t="s">
        <v>251</v>
      </c>
      <c r="F341" t="str">
        <f>"13.1203"</f>
        <v>13.1203</v>
      </c>
      <c r="G341" s="8" t="s">
        <v>893</v>
      </c>
    </row>
    <row r="342" spans="1:7" x14ac:dyDescent="0.35">
      <c r="A342" t="str">
        <f>"13.1205"</f>
        <v>13.1205</v>
      </c>
      <c r="B342" t="s">
        <v>894</v>
      </c>
      <c r="C342" s="8" t="s">
        <v>895</v>
      </c>
      <c r="D342" t="s">
        <v>250</v>
      </c>
      <c r="E342" t="s">
        <v>251</v>
      </c>
      <c r="F342" t="str">
        <f>"13.1205"</f>
        <v>13.1205</v>
      </c>
      <c r="G342" s="8" t="s">
        <v>895</v>
      </c>
    </row>
    <row r="343" spans="1:7" x14ac:dyDescent="0.35">
      <c r="A343" t="str">
        <f>"13.1206"</f>
        <v>13.1206</v>
      </c>
      <c r="B343" t="s">
        <v>896</v>
      </c>
      <c r="C343" s="8" t="s">
        <v>897</v>
      </c>
      <c r="D343" t="s">
        <v>250</v>
      </c>
      <c r="E343" t="s">
        <v>251</v>
      </c>
      <c r="F343" t="str">
        <f>"13.1206"</f>
        <v>13.1206</v>
      </c>
      <c r="G343" s="8" t="s">
        <v>897</v>
      </c>
    </row>
    <row r="344" spans="1:7" x14ac:dyDescent="0.35">
      <c r="A344" t="str">
        <f>"13.1207"</f>
        <v>13.1207</v>
      </c>
      <c r="B344" t="s">
        <v>898</v>
      </c>
      <c r="C344" s="8" t="s">
        <v>899</v>
      </c>
      <c r="D344" t="s">
        <v>250</v>
      </c>
      <c r="E344" t="s">
        <v>251</v>
      </c>
      <c r="F344" t="str">
        <f>"13.1207"</f>
        <v>13.1207</v>
      </c>
      <c r="G344" s="8" t="s">
        <v>899</v>
      </c>
    </row>
    <row r="345" spans="1:7" x14ac:dyDescent="0.35">
      <c r="A345" t="str">
        <f>"13.1208"</f>
        <v>13.1208</v>
      </c>
      <c r="B345" t="s">
        <v>900</v>
      </c>
      <c r="C345" s="8" t="s">
        <v>901</v>
      </c>
      <c r="D345" t="s">
        <v>250</v>
      </c>
      <c r="E345" t="s">
        <v>251</v>
      </c>
      <c r="F345" t="str">
        <f>"13.1208"</f>
        <v>13.1208</v>
      </c>
      <c r="G345" s="8" t="s">
        <v>901</v>
      </c>
    </row>
    <row r="346" spans="1:7" ht="29" x14ac:dyDescent="0.35">
      <c r="A346" t="str">
        <f>"13.1209"</f>
        <v>13.1209</v>
      </c>
      <c r="B346" t="s">
        <v>902</v>
      </c>
      <c r="C346" s="8" t="s">
        <v>903</v>
      </c>
      <c r="D346" t="s">
        <v>250</v>
      </c>
      <c r="E346" t="s">
        <v>251</v>
      </c>
      <c r="F346" t="str">
        <f>"13.1209"</f>
        <v>13.1209</v>
      </c>
      <c r="G346" s="8" t="s">
        <v>903</v>
      </c>
    </row>
    <row r="347" spans="1:7" x14ac:dyDescent="0.35">
      <c r="A347" t="str">
        <f>"13.1210"</f>
        <v>13.1210</v>
      </c>
      <c r="B347" t="s">
        <v>904</v>
      </c>
      <c r="C347" s="8" t="s">
        <v>905</v>
      </c>
      <c r="D347" t="s">
        <v>250</v>
      </c>
      <c r="E347" t="s">
        <v>251</v>
      </c>
      <c r="F347" t="str">
        <f>"13.1210"</f>
        <v>13.1210</v>
      </c>
      <c r="G347" s="8" t="s">
        <v>905</v>
      </c>
    </row>
    <row r="348" spans="1:7" x14ac:dyDescent="0.35">
      <c r="D348" t="s">
        <v>275</v>
      </c>
      <c r="E348" t="s">
        <v>251</v>
      </c>
      <c r="F348" t="str">
        <f>"13.1211"</f>
        <v>13.1211</v>
      </c>
      <c r="G348" s="8" t="s">
        <v>906</v>
      </c>
    </row>
    <row r="349" spans="1:7" x14ac:dyDescent="0.35">
      <c r="D349" t="s">
        <v>275</v>
      </c>
      <c r="E349" t="s">
        <v>251</v>
      </c>
      <c r="F349" t="str">
        <f>"13.1212"</f>
        <v>13.1212</v>
      </c>
      <c r="G349" s="8" t="s">
        <v>907</v>
      </c>
    </row>
    <row r="350" spans="1:7" ht="29" x14ac:dyDescent="0.35">
      <c r="D350" t="s">
        <v>275</v>
      </c>
      <c r="E350" t="s">
        <v>251</v>
      </c>
      <c r="F350" t="str">
        <f>"13.1213"</f>
        <v>13.1213</v>
      </c>
      <c r="G350" s="8" t="s">
        <v>908</v>
      </c>
    </row>
    <row r="351" spans="1:7" x14ac:dyDescent="0.35">
      <c r="D351" t="s">
        <v>275</v>
      </c>
      <c r="E351" t="s">
        <v>251</v>
      </c>
      <c r="F351" t="str">
        <f>"13.1214"</f>
        <v>13.1214</v>
      </c>
      <c r="G351" s="8" t="s">
        <v>909</v>
      </c>
    </row>
    <row r="352" spans="1:7" ht="43.5" x14ac:dyDescent="0.35">
      <c r="A352" t="str">
        <f>"13.1299"</f>
        <v>13.1299</v>
      </c>
      <c r="B352" t="s">
        <v>910</v>
      </c>
      <c r="C352" s="8" t="s">
        <v>911</v>
      </c>
      <c r="D352" t="s">
        <v>250</v>
      </c>
      <c r="E352" t="s">
        <v>251</v>
      </c>
      <c r="F352" t="str">
        <f>"13.1299"</f>
        <v>13.1299</v>
      </c>
      <c r="G352" s="8" t="s">
        <v>911</v>
      </c>
    </row>
    <row r="353" spans="1:7" x14ac:dyDescent="0.35">
      <c r="A353" t="str">
        <f>"13.1301"</f>
        <v>13.1301</v>
      </c>
      <c r="B353" t="s">
        <v>912</v>
      </c>
      <c r="C353" s="8" t="s">
        <v>913</v>
      </c>
      <c r="D353" t="s">
        <v>250</v>
      </c>
      <c r="E353" t="s">
        <v>251</v>
      </c>
      <c r="F353" t="str">
        <f>"13.1301"</f>
        <v>13.1301</v>
      </c>
      <c r="G353" s="8" t="s">
        <v>913</v>
      </c>
    </row>
    <row r="354" spans="1:7" x14ac:dyDescent="0.35">
      <c r="A354" t="str">
        <f>"13.1302"</f>
        <v>13.1302</v>
      </c>
      <c r="B354" t="s">
        <v>914</v>
      </c>
      <c r="C354" s="8" t="s">
        <v>915</v>
      </c>
      <c r="D354" t="s">
        <v>250</v>
      </c>
      <c r="E354" t="s">
        <v>251</v>
      </c>
      <c r="F354" t="str">
        <f>"13.1302"</f>
        <v>13.1302</v>
      </c>
      <c r="G354" s="8" t="s">
        <v>915</v>
      </c>
    </row>
    <row r="355" spans="1:7" ht="29" x14ac:dyDescent="0.35">
      <c r="A355" t="str">
        <f>"13.1303"</f>
        <v>13.1303</v>
      </c>
      <c r="B355" t="s">
        <v>916</v>
      </c>
      <c r="C355" s="8" t="s">
        <v>917</v>
      </c>
      <c r="D355" t="s">
        <v>250</v>
      </c>
      <c r="E355" t="s">
        <v>264</v>
      </c>
      <c r="F355" t="str">
        <f>"13.1303"</f>
        <v>13.1303</v>
      </c>
      <c r="G355" s="8" t="s">
        <v>918</v>
      </c>
    </row>
    <row r="356" spans="1:7" x14ac:dyDescent="0.35">
      <c r="A356" t="str">
        <f>"13.1304"</f>
        <v>13.1304</v>
      </c>
      <c r="B356" t="s">
        <v>919</v>
      </c>
      <c r="C356" s="8" t="s">
        <v>920</v>
      </c>
      <c r="D356" t="s">
        <v>250</v>
      </c>
      <c r="E356" t="s">
        <v>251</v>
      </c>
      <c r="F356" t="str">
        <f>"13.1304"</f>
        <v>13.1304</v>
      </c>
      <c r="G356" s="8" t="s">
        <v>920</v>
      </c>
    </row>
    <row r="357" spans="1:7" x14ac:dyDescent="0.35">
      <c r="A357" t="str">
        <f>"13.1305"</f>
        <v>13.1305</v>
      </c>
      <c r="B357" t="s">
        <v>921</v>
      </c>
      <c r="C357" s="8" t="s">
        <v>922</v>
      </c>
      <c r="D357" t="s">
        <v>250</v>
      </c>
      <c r="E357" t="s">
        <v>251</v>
      </c>
      <c r="F357" t="str">
        <f>"13.1305"</f>
        <v>13.1305</v>
      </c>
      <c r="G357" s="8" t="s">
        <v>922</v>
      </c>
    </row>
    <row r="358" spans="1:7" x14ac:dyDescent="0.35">
      <c r="A358" t="str">
        <f>"13.1306"</f>
        <v>13.1306</v>
      </c>
      <c r="B358" t="s">
        <v>923</v>
      </c>
      <c r="C358" s="8" t="s">
        <v>924</v>
      </c>
      <c r="D358" t="s">
        <v>250</v>
      </c>
      <c r="E358" t="s">
        <v>251</v>
      </c>
      <c r="F358" t="str">
        <f>"13.1306"</f>
        <v>13.1306</v>
      </c>
      <c r="G358" s="8" t="s">
        <v>924</v>
      </c>
    </row>
    <row r="359" spans="1:7" x14ac:dyDescent="0.35">
      <c r="A359" t="str">
        <f>"13.1307"</f>
        <v>13.1307</v>
      </c>
      <c r="B359" t="s">
        <v>925</v>
      </c>
      <c r="C359" s="8" t="s">
        <v>926</v>
      </c>
      <c r="D359" t="s">
        <v>250</v>
      </c>
      <c r="E359" t="s">
        <v>251</v>
      </c>
      <c r="F359" t="str">
        <f>"13.1307"</f>
        <v>13.1307</v>
      </c>
      <c r="G359" s="8" t="s">
        <v>926</v>
      </c>
    </row>
    <row r="360" spans="1:7" ht="29" x14ac:dyDescent="0.35">
      <c r="A360" t="str">
        <f>"13.1308"</f>
        <v>13.1308</v>
      </c>
      <c r="B360" t="s">
        <v>927</v>
      </c>
      <c r="C360" s="8" t="s">
        <v>928</v>
      </c>
      <c r="D360" t="s">
        <v>250</v>
      </c>
      <c r="E360" t="s">
        <v>251</v>
      </c>
      <c r="F360" t="str">
        <f>"13.1308"</f>
        <v>13.1308</v>
      </c>
      <c r="G360" s="8" t="s">
        <v>928</v>
      </c>
    </row>
    <row r="361" spans="1:7" ht="29" x14ac:dyDescent="0.35">
      <c r="A361" t="str">
        <f>"13.1309"</f>
        <v>13.1309</v>
      </c>
      <c r="B361" t="s">
        <v>929</v>
      </c>
      <c r="C361" s="8" t="s">
        <v>930</v>
      </c>
      <c r="D361" t="s">
        <v>250</v>
      </c>
      <c r="E361" t="s">
        <v>251</v>
      </c>
      <c r="F361" t="str">
        <f>"13.1309"</f>
        <v>13.1309</v>
      </c>
      <c r="G361" s="8" t="s">
        <v>930</v>
      </c>
    </row>
    <row r="362" spans="1:7" ht="43.5" x14ac:dyDescent="0.35">
      <c r="A362" t="str">
        <f>"13.1310"</f>
        <v>13.1310</v>
      </c>
      <c r="B362" t="s">
        <v>931</v>
      </c>
      <c r="C362" s="8" t="s">
        <v>932</v>
      </c>
      <c r="D362" t="s">
        <v>250</v>
      </c>
      <c r="E362" t="s">
        <v>251</v>
      </c>
      <c r="F362" t="str">
        <f>"13.1310"</f>
        <v>13.1310</v>
      </c>
      <c r="G362" s="8" t="s">
        <v>932</v>
      </c>
    </row>
    <row r="363" spans="1:7" x14ac:dyDescent="0.35">
      <c r="A363" t="str">
        <f>"13.1311"</f>
        <v>13.1311</v>
      </c>
      <c r="B363" t="s">
        <v>933</v>
      </c>
      <c r="C363" s="8" t="s">
        <v>934</v>
      </c>
      <c r="D363" t="s">
        <v>250</v>
      </c>
      <c r="E363" t="s">
        <v>251</v>
      </c>
      <c r="F363" t="str">
        <f>"13.1311"</f>
        <v>13.1311</v>
      </c>
      <c r="G363" s="8" t="s">
        <v>934</v>
      </c>
    </row>
    <row r="364" spans="1:7" x14ac:dyDescent="0.35">
      <c r="A364" t="str">
        <f>"13.1312"</f>
        <v>13.1312</v>
      </c>
      <c r="B364" t="s">
        <v>935</v>
      </c>
      <c r="C364" s="8" t="s">
        <v>936</v>
      </c>
      <c r="D364" t="s">
        <v>250</v>
      </c>
      <c r="E364" t="s">
        <v>251</v>
      </c>
      <c r="F364" t="str">
        <f>"13.1312"</f>
        <v>13.1312</v>
      </c>
      <c r="G364" s="8" t="s">
        <v>936</v>
      </c>
    </row>
    <row r="365" spans="1:7" x14ac:dyDescent="0.35">
      <c r="A365" t="str">
        <f>"13.1314"</f>
        <v>13.1314</v>
      </c>
      <c r="B365" t="s">
        <v>937</v>
      </c>
      <c r="C365" s="8" t="s">
        <v>938</v>
      </c>
      <c r="D365" t="s">
        <v>250</v>
      </c>
      <c r="E365" t="s">
        <v>251</v>
      </c>
      <c r="F365" t="str">
        <f>"13.1314"</f>
        <v>13.1314</v>
      </c>
      <c r="G365" s="8" t="s">
        <v>938</v>
      </c>
    </row>
    <row r="366" spans="1:7" x14ac:dyDescent="0.35">
      <c r="A366" t="str">
        <f>"13.1315"</f>
        <v>13.1315</v>
      </c>
      <c r="B366" t="s">
        <v>939</v>
      </c>
      <c r="C366" s="8" t="s">
        <v>940</v>
      </c>
      <c r="D366" t="s">
        <v>250</v>
      </c>
      <c r="E366" t="s">
        <v>251</v>
      </c>
      <c r="F366" t="str">
        <f>"13.1315"</f>
        <v>13.1315</v>
      </c>
      <c r="G366" s="8" t="s">
        <v>940</v>
      </c>
    </row>
    <row r="367" spans="1:7" ht="29" x14ac:dyDescent="0.35">
      <c r="A367" t="str">
        <f>"13.1316"</f>
        <v>13.1316</v>
      </c>
      <c r="B367" t="s">
        <v>941</v>
      </c>
      <c r="C367" s="8" t="s">
        <v>942</v>
      </c>
      <c r="D367" t="s">
        <v>250</v>
      </c>
      <c r="E367" t="s">
        <v>251</v>
      </c>
      <c r="F367" t="str">
        <f>"13.1316"</f>
        <v>13.1316</v>
      </c>
      <c r="G367" s="8" t="s">
        <v>942</v>
      </c>
    </row>
    <row r="368" spans="1:7" x14ac:dyDescent="0.35">
      <c r="A368" t="str">
        <f>"13.1317"</f>
        <v>13.1317</v>
      </c>
      <c r="B368" t="s">
        <v>943</v>
      </c>
      <c r="C368" s="8" t="s">
        <v>944</v>
      </c>
      <c r="D368" t="s">
        <v>250</v>
      </c>
      <c r="E368" t="s">
        <v>251</v>
      </c>
      <c r="F368" t="str">
        <f>"13.1317"</f>
        <v>13.1317</v>
      </c>
      <c r="G368" s="8" t="s">
        <v>944</v>
      </c>
    </row>
    <row r="369" spans="1:7" x14ac:dyDescent="0.35">
      <c r="A369" t="str">
        <f>"13.1318"</f>
        <v>13.1318</v>
      </c>
      <c r="B369" t="s">
        <v>945</v>
      </c>
      <c r="C369" s="8" t="s">
        <v>946</v>
      </c>
      <c r="D369" t="s">
        <v>250</v>
      </c>
      <c r="E369" t="s">
        <v>251</v>
      </c>
      <c r="F369" t="str">
        <f>"13.1318"</f>
        <v>13.1318</v>
      </c>
      <c r="G369" s="8" t="s">
        <v>946</v>
      </c>
    </row>
    <row r="370" spans="1:7" x14ac:dyDescent="0.35">
      <c r="A370" t="str">
        <f>"13.1319"</f>
        <v>13.1319</v>
      </c>
      <c r="B370" t="s">
        <v>947</v>
      </c>
      <c r="C370" s="8" t="s">
        <v>948</v>
      </c>
      <c r="D370" t="s">
        <v>250</v>
      </c>
      <c r="E370" t="s">
        <v>251</v>
      </c>
      <c r="F370" t="str">
        <f>"13.1319"</f>
        <v>13.1319</v>
      </c>
      <c r="G370" s="8" t="s">
        <v>948</v>
      </c>
    </row>
    <row r="371" spans="1:7" x14ac:dyDescent="0.35">
      <c r="A371" t="str">
        <f>"13.1320"</f>
        <v>13.1320</v>
      </c>
      <c r="B371" t="s">
        <v>949</v>
      </c>
      <c r="C371" s="8" t="s">
        <v>950</v>
      </c>
      <c r="D371" t="s">
        <v>250</v>
      </c>
      <c r="E371" t="s">
        <v>251</v>
      </c>
      <c r="F371" t="str">
        <f>"13.1320"</f>
        <v>13.1320</v>
      </c>
      <c r="G371" s="8" t="s">
        <v>950</v>
      </c>
    </row>
    <row r="372" spans="1:7" x14ac:dyDescent="0.35">
      <c r="A372" t="str">
        <f>"13.1321"</f>
        <v>13.1321</v>
      </c>
      <c r="B372" t="s">
        <v>951</v>
      </c>
      <c r="C372" s="8" t="s">
        <v>952</v>
      </c>
      <c r="D372" t="s">
        <v>250</v>
      </c>
      <c r="E372" t="s">
        <v>251</v>
      </c>
      <c r="F372" t="str">
        <f>"13.1321"</f>
        <v>13.1321</v>
      </c>
      <c r="G372" s="8" t="s">
        <v>952</v>
      </c>
    </row>
    <row r="373" spans="1:7" x14ac:dyDescent="0.35">
      <c r="A373" t="str">
        <f>"13.1322"</f>
        <v>13.1322</v>
      </c>
      <c r="B373" t="s">
        <v>953</v>
      </c>
      <c r="C373" s="8" t="s">
        <v>954</v>
      </c>
      <c r="D373" t="s">
        <v>250</v>
      </c>
      <c r="E373" t="s">
        <v>251</v>
      </c>
      <c r="F373" t="str">
        <f>"13.1322"</f>
        <v>13.1322</v>
      </c>
      <c r="G373" s="8" t="s">
        <v>954</v>
      </c>
    </row>
    <row r="374" spans="1:7" x14ac:dyDescent="0.35">
      <c r="A374" t="str">
        <f>"13.1323"</f>
        <v>13.1323</v>
      </c>
      <c r="B374" t="s">
        <v>955</v>
      </c>
      <c r="C374" s="8" t="s">
        <v>956</v>
      </c>
      <c r="D374" t="s">
        <v>250</v>
      </c>
      <c r="E374" t="s">
        <v>251</v>
      </c>
      <c r="F374" t="str">
        <f>"13.1323"</f>
        <v>13.1323</v>
      </c>
      <c r="G374" s="8" t="s">
        <v>956</v>
      </c>
    </row>
    <row r="375" spans="1:7" x14ac:dyDescent="0.35">
      <c r="A375" t="str">
        <f>"13.1324"</f>
        <v>13.1324</v>
      </c>
      <c r="B375" t="s">
        <v>957</v>
      </c>
      <c r="C375" s="8" t="s">
        <v>958</v>
      </c>
      <c r="D375" t="s">
        <v>250</v>
      </c>
      <c r="E375" t="s">
        <v>251</v>
      </c>
      <c r="F375" t="str">
        <f>"13.1324"</f>
        <v>13.1324</v>
      </c>
      <c r="G375" s="8" t="s">
        <v>958</v>
      </c>
    </row>
    <row r="376" spans="1:7" x14ac:dyDescent="0.35">
      <c r="A376" t="str">
        <f>"13.1325"</f>
        <v>13.1325</v>
      </c>
      <c r="B376" t="s">
        <v>959</v>
      </c>
      <c r="C376" s="8" t="s">
        <v>960</v>
      </c>
      <c r="D376" t="s">
        <v>250</v>
      </c>
      <c r="E376" t="s">
        <v>251</v>
      </c>
      <c r="F376" t="str">
        <f>"13.1325"</f>
        <v>13.1325</v>
      </c>
      <c r="G376" s="8" t="s">
        <v>960</v>
      </c>
    </row>
    <row r="377" spans="1:7" x14ac:dyDescent="0.35">
      <c r="A377" t="str">
        <f>"13.1326"</f>
        <v>13.1326</v>
      </c>
      <c r="B377" t="s">
        <v>961</v>
      </c>
      <c r="C377" s="8" t="s">
        <v>962</v>
      </c>
      <c r="D377" t="s">
        <v>250</v>
      </c>
      <c r="E377" t="s">
        <v>251</v>
      </c>
      <c r="F377" t="str">
        <f>"13.1326"</f>
        <v>13.1326</v>
      </c>
      <c r="G377" s="8" t="s">
        <v>962</v>
      </c>
    </row>
    <row r="378" spans="1:7" x14ac:dyDescent="0.35">
      <c r="A378" t="str">
        <f>"13.1327"</f>
        <v>13.1327</v>
      </c>
      <c r="B378" t="s">
        <v>963</v>
      </c>
      <c r="C378" s="8" t="s">
        <v>964</v>
      </c>
      <c r="D378" t="s">
        <v>250</v>
      </c>
      <c r="E378" t="s">
        <v>251</v>
      </c>
      <c r="F378" t="str">
        <f>"13.1327"</f>
        <v>13.1327</v>
      </c>
      <c r="G378" s="8" t="s">
        <v>964</v>
      </c>
    </row>
    <row r="379" spans="1:7" x14ac:dyDescent="0.35">
      <c r="A379" t="str">
        <f>"13.1328"</f>
        <v>13.1328</v>
      </c>
      <c r="B379" t="s">
        <v>965</v>
      </c>
      <c r="C379" s="8" t="s">
        <v>966</v>
      </c>
      <c r="D379" t="s">
        <v>250</v>
      </c>
      <c r="E379" t="s">
        <v>251</v>
      </c>
      <c r="F379" t="str">
        <f>"13.1328"</f>
        <v>13.1328</v>
      </c>
      <c r="G379" s="8" t="s">
        <v>966</v>
      </c>
    </row>
    <row r="380" spans="1:7" x14ac:dyDescent="0.35">
      <c r="A380" t="str">
        <f>"13.1329"</f>
        <v>13.1329</v>
      </c>
      <c r="B380" t="s">
        <v>967</v>
      </c>
      <c r="C380" s="8" t="s">
        <v>968</v>
      </c>
      <c r="D380" t="s">
        <v>250</v>
      </c>
      <c r="E380" t="s">
        <v>251</v>
      </c>
      <c r="F380" t="str">
        <f>"13.1329"</f>
        <v>13.1329</v>
      </c>
      <c r="G380" s="8" t="s">
        <v>968</v>
      </c>
    </row>
    <row r="381" spans="1:7" x14ac:dyDescent="0.35">
      <c r="A381" t="str">
        <f>"13.1330"</f>
        <v>13.1330</v>
      </c>
      <c r="B381" t="s">
        <v>969</v>
      </c>
      <c r="C381" s="8" t="s">
        <v>970</v>
      </c>
      <c r="D381" t="s">
        <v>250</v>
      </c>
      <c r="E381" t="s">
        <v>251</v>
      </c>
      <c r="F381" t="str">
        <f>"13.1330"</f>
        <v>13.1330</v>
      </c>
      <c r="G381" s="8" t="s">
        <v>970</v>
      </c>
    </row>
    <row r="382" spans="1:7" x14ac:dyDescent="0.35">
      <c r="A382" t="str">
        <f>"13.1331"</f>
        <v>13.1331</v>
      </c>
      <c r="B382" t="s">
        <v>971</v>
      </c>
      <c r="C382" s="8" t="s">
        <v>972</v>
      </c>
      <c r="D382" t="s">
        <v>250</v>
      </c>
      <c r="E382" t="s">
        <v>251</v>
      </c>
      <c r="F382" t="str">
        <f>"13.1331"</f>
        <v>13.1331</v>
      </c>
      <c r="G382" s="8" t="s">
        <v>972</v>
      </c>
    </row>
    <row r="383" spans="1:7" x14ac:dyDescent="0.35">
      <c r="A383" t="str">
        <f>"13.1332"</f>
        <v>13.1332</v>
      </c>
      <c r="B383" t="s">
        <v>973</v>
      </c>
      <c r="C383" s="8" t="s">
        <v>974</v>
      </c>
      <c r="D383" t="s">
        <v>250</v>
      </c>
      <c r="E383" t="s">
        <v>251</v>
      </c>
      <c r="F383" t="str">
        <f>"13.1332"</f>
        <v>13.1332</v>
      </c>
      <c r="G383" s="8" t="s">
        <v>974</v>
      </c>
    </row>
    <row r="384" spans="1:7" x14ac:dyDescent="0.35">
      <c r="A384" t="str">
        <f>"13.1333"</f>
        <v>13.1333</v>
      </c>
      <c r="B384" t="s">
        <v>975</v>
      </c>
      <c r="C384" s="8" t="s">
        <v>976</v>
      </c>
      <c r="D384" t="s">
        <v>250</v>
      </c>
      <c r="E384" t="s">
        <v>251</v>
      </c>
      <c r="F384" t="str">
        <f>"13.1333"</f>
        <v>13.1333</v>
      </c>
      <c r="G384" s="8" t="s">
        <v>976</v>
      </c>
    </row>
    <row r="385" spans="1:7" ht="29" x14ac:dyDescent="0.35">
      <c r="A385" t="str">
        <f>"13.1334"</f>
        <v>13.1334</v>
      </c>
      <c r="B385" t="s">
        <v>977</v>
      </c>
      <c r="C385" s="8" t="s">
        <v>978</v>
      </c>
      <c r="D385" t="s">
        <v>250</v>
      </c>
      <c r="E385" t="s">
        <v>251</v>
      </c>
      <c r="F385" t="str">
        <f>"13.1334"</f>
        <v>13.1334</v>
      </c>
      <c r="G385" s="8" t="s">
        <v>978</v>
      </c>
    </row>
    <row r="386" spans="1:7" x14ac:dyDescent="0.35">
      <c r="A386" t="str">
        <f>"13.1335"</f>
        <v>13.1335</v>
      </c>
      <c r="B386" t="s">
        <v>979</v>
      </c>
      <c r="C386" s="8" t="s">
        <v>980</v>
      </c>
      <c r="D386" t="s">
        <v>250</v>
      </c>
      <c r="E386" t="s">
        <v>251</v>
      </c>
      <c r="F386" t="str">
        <f>"13.1335"</f>
        <v>13.1335</v>
      </c>
      <c r="G386" s="8" t="s">
        <v>980</v>
      </c>
    </row>
    <row r="387" spans="1:7" x14ac:dyDescent="0.35">
      <c r="A387" t="str">
        <f>"13.1337"</f>
        <v>13.1337</v>
      </c>
      <c r="B387" t="s">
        <v>981</v>
      </c>
      <c r="C387" s="8" t="s">
        <v>982</v>
      </c>
      <c r="D387" t="s">
        <v>250</v>
      </c>
      <c r="E387" t="s">
        <v>251</v>
      </c>
      <c r="F387" t="str">
        <f>"13.1337"</f>
        <v>13.1337</v>
      </c>
      <c r="G387" s="8" t="s">
        <v>982</v>
      </c>
    </row>
    <row r="388" spans="1:7" x14ac:dyDescent="0.35">
      <c r="A388" t="str">
        <f>"13.1338"</f>
        <v>13.1338</v>
      </c>
      <c r="B388" t="s">
        <v>983</v>
      </c>
      <c r="C388" s="8" t="s">
        <v>984</v>
      </c>
      <c r="D388" t="s">
        <v>250</v>
      </c>
      <c r="E388" t="s">
        <v>251</v>
      </c>
      <c r="F388" t="str">
        <f>"13.1338"</f>
        <v>13.1338</v>
      </c>
      <c r="G388" s="8" t="s">
        <v>984</v>
      </c>
    </row>
    <row r="389" spans="1:7" ht="29" x14ac:dyDescent="0.35">
      <c r="D389" t="s">
        <v>275</v>
      </c>
      <c r="E389" t="s">
        <v>251</v>
      </c>
      <c r="F389" t="str">
        <f>"13.1339"</f>
        <v>13.1339</v>
      </c>
      <c r="G389" s="8" t="s">
        <v>985</v>
      </c>
    </row>
    <row r="390" spans="1:7" ht="43.5" x14ac:dyDescent="0.35">
      <c r="A390" t="str">
        <f>"13.1399"</f>
        <v>13.1399</v>
      </c>
      <c r="B390" t="s">
        <v>986</v>
      </c>
      <c r="C390" s="8" t="s">
        <v>987</v>
      </c>
      <c r="D390" t="s">
        <v>250</v>
      </c>
      <c r="E390" t="s">
        <v>251</v>
      </c>
      <c r="F390" t="str">
        <f>"13.1399"</f>
        <v>13.1399</v>
      </c>
      <c r="G390" s="8" t="s">
        <v>987</v>
      </c>
    </row>
    <row r="391" spans="1:7" ht="29" x14ac:dyDescent="0.35">
      <c r="A391" t="str">
        <f>"13.1401"</f>
        <v>13.1401</v>
      </c>
      <c r="B391" t="s">
        <v>988</v>
      </c>
      <c r="C391" s="8" t="s">
        <v>989</v>
      </c>
      <c r="D391" t="s">
        <v>250</v>
      </c>
      <c r="E391" t="s">
        <v>251</v>
      </c>
      <c r="F391" t="str">
        <f>"13.1401"</f>
        <v>13.1401</v>
      </c>
      <c r="G391" s="8" t="s">
        <v>989</v>
      </c>
    </row>
    <row r="392" spans="1:7" ht="29" x14ac:dyDescent="0.35">
      <c r="A392" t="str">
        <f>"13.1402"</f>
        <v>13.1402</v>
      </c>
      <c r="B392" t="s">
        <v>990</v>
      </c>
      <c r="C392" s="8" t="s">
        <v>991</v>
      </c>
      <c r="D392" t="s">
        <v>250</v>
      </c>
      <c r="E392" t="s">
        <v>251</v>
      </c>
      <c r="F392" t="str">
        <f>"13.1402"</f>
        <v>13.1402</v>
      </c>
      <c r="G392" s="8" t="s">
        <v>991</v>
      </c>
    </row>
    <row r="393" spans="1:7" ht="29" x14ac:dyDescent="0.35">
      <c r="A393" t="str">
        <f>"13.1499"</f>
        <v>13.1499</v>
      </c>
      <c r="B393" t="s">
        <v>992</v>
      </c>
      <c r="C393" s="8" t="s">
        <v>993</v>
      </c>
      <c r="D393" t="s">
        <v>250</v>
      </c>
      <c r="E393" t="s">
        <v>251</v>
      </c>
      <c r="F393" t="str">
        <f>"13.1499"</f>
        <v>13.1499</v>
      </c>
      <c r="G393" s="8" t="s">
        <v>993</v>
      </c>
    </row>
    <row r="394" spans="1:7" x14ac:dyDescent="0.35">
      <c r="A394" t="str">
        <f>"13.1501"</f>
        <v>13.1501</v>
      </c>
      <c r="B394" t="s">
        <v>994</v>
      </c>
      <c r="C394" s="8" t="s">
        <v>995</v>
      </c>
      <c r="D394" t="s">
        <v>250</v>
      </c>
      <c r="E394" t="s">
        <v>251</v>
      </c>
      <c r="F394" t="str">
        <f>"13.1501"</f>
        <v>13.1501</v>
      </c>
      <c r="G394" s="8" t="s">
        <v>995</v>
      </c>
    </row>
    <row r="395" spans="1:7" x14ac:dyDescent="0.35">
      <c r="A395" t="str">
        <f>"13.1502"</f>
        <v>13.1502</v>
      </c>
      <c r="B395" t="s">
        <v>996</v>
      </c>
      <c r="C395" s="8" t="s">
        <v>997</v>
      </c>
      <c r="D395" t="s">
        <v>250</v>
      </c>
      <c r="E395" t="s">
        <v>251</v>
      </c>
      <c r="F395" t="str">
        <f>"13.1502"</f>
        <v>13.1502</v>
      </c>
      <c r="G395" s="8" t="s">
        <v>997</v>
      </c>
    </row>
    <row r="396" spans="1:7" x14ac:dyDescent="0.35">
      <c r="A396" t="str">
        <f>"13.1599"</f>
        <v>13.1599</v>
      </c>
      <c r="B396" t="s">
        <v>998</v>
      </c>
      <c r="C396" s="8" t="s">
        <v>999</v>
      </c>
      <c r="D396" t="s">
        <v>250</v>
      </c>
      <c r="E396" t="s">
        <v>251</v>
      </c>
      <c r="F396" t="str">
        <f>"13.1599"</f>
        <v>13.1599</v>
      </c>
      <c r="G396" s="8" t="s">
        <v>999</v>
      </c>
    </row>
    <row r="397" spans="1:7" x14ac:dyDescent="0.35">
      <c r="A397" t="str">
        <f>"13.9999"</f>
        <v>13.9999</v>
      </c>
      <c r="B397" t="s">
        <v>1000</v>
      </c>
      <c r="C397" s="8" t="s">
        <v>1001</v>
      </c>
      <c r="D397" t="s">
        <v>250</v>
      </c>
      <c r="E397" t="s">
        <v>251</v>
      </c>
      <c r="F397" t="str">
        <f>"13.9999"</f>
        <v>13.9999</v>
      </c>
      <c r="G397" s="8" t="s">
        <v>1001</v>
      </c>
    </row>
    <row r="398" spans="1:7" x14ac:dyDescent="0.35">
      <c r="A398" t="str">
        <f>"14.0101"</f>
        <v>14.0101</v>
      </c>
      <c r="B398" t="s">
        <v>1002</v>
      </c>
      <c r="C398" s="8" t="s">
        <v>1003</v>
      </c>
      <c r="D398" t="s">
        <v>250</v>
      </c>
      <c r="E398" t="s">
        <v>251</v>
      </c>
      <c r="F398" t="str">
        <f>"14.0101"</f>
        <v>14.0101</v>
      </c>
      <c r="G398" s="8" t="s">
        <v>1003</v>
      </c>
    </row>
    <row r="399" spans="1:7" x14ac:dyDescent="0.35">
      <c r="A399" t="str">
        <f>"14.0102"</f>
        <v>14.0102</v>
      </c>
      <c r="B399" t="s">
        <v>1004</v>
      </c>
      <c r="C399" s="8" t="s">
        <v>1005</v>
      </c>
      <c r="D399" t="s">
        <v>250</v>
      </c>
      <c r="E399" t="s">
        <v>251</v>
      </c>
      <c r="F399" t="str">
        <f>"14.0102"</f>
        <v>14.0102</v>
      </c>
      <c r="G399" s="8" t="s">
        <v>1005</v>
      </c>
    </row>
    <row r="400" spans="1:7" x14ac:dyDescent="0.35">
      <c r="D400" t="s">
        <v>275</v>
      </c>
      <c r="E400" t="s">
        <v>251</v>
      </c>
      <c r="F400" t="str">
        <f>"14.0103"</f>
        <v>14.0103</v>
      </c>
      <c r="G400" s="8" t="s">
        <v>1006</v>
      </c>
    </row>
    <row r="401" spans="1:7" ht="29" x14ac:dyDescent="0.35">
      <c r="A401" t="str">
        <f>"14.0201"</f>
        <v>14.0201</v>
      </c>
      <c r="B401" t="s">
        <v>1007</v>
      </c>
      <c r="C401" s="8" t="s">
        <v>1008</v>
      </c>
      <c r="D401" t="s">
        <v>250</v>
      </c>
      <c r="E401" t="s">
        <v>264</v>
      </c>
      <c r="F401" t="str">
        <f>"14.0201"</f>
        <v>14.0201</v>
      </c>
      <c r="G401" s="8" t="s">
        <v>1009</v>
      </c>
    </row>
    <row r="402" spans="1:7" x14ac:dyDescent="0.35">
      <c r="D402" t="s">
        <v>275</v>
      </c>
      <c r="E402" t="s">
        <v>251</v>
      </c>
      <c r="F402" t="str">
        <f>"14.0202"</f>
        <v>14.0202</v>
      </c>
      <c r="G402" s="8" t="s">
        <v>1010</v>
      </c>
    </row>
    <row r="403" spans="1:7" ht="29" x14ac:dyDescent="0.35">
      <c r="D403" t="s">
        <v>275</v>
      </c>
      <c r="E403" t="s">
        <v>251</v>
      </c>
      <c r="F403" t="str">
        <f>"14.0299"</f>
        <v>14.0299</v>
      </c>
      <c r="G403" s="8" t="s">
        <v>1011</v>
      </c>
    </row>
    <row r="404" spans="1:7" x14ac:dyDescent="0.35">
      <c r="A404" t="str">
        <f>"14.0301"</f>
        <v>14.0301</v>
      </c>
      <c r="B404" t="s">
        <v>1012</v>
      </c>
      <c r="C404" s="8" t="s">
        <v>1013</v>
      </c>
      <c r="D404" t="s">
        <v>250</v>
      </c>
      <c r="E404" t="s">
        <v>251</v>
      </c>
      <c r="F404" t="str">
        <f>"14.0301"</f>
        <v>14.0301</v>
      </c>
      <c r="G404" s="8" t="s">
        <v>1013</v>
      </c>
    </row>
    <row r="405" spans="1:7" x14ac:dyDescent="0.35">
      <c r="A405" t="str">
        <f>"14.0401"</f>
        <v>14.0401</v>
      </c>
      <c r="B405" t="s">
        <v>1014</v>
      </c>
      <c r="C405" s="8" t="s">
        <v>1015</v>
      </c>
      <c r="D405" t="s">
        <v>250</v>
      </c>
      <c r="E405" t="s">
        <v>251</v>
      </c>
      <c r="F405" t="str">
        <f>"14.0401"</f>
        <v>14.0401</v>
      </c>
      <c r="G405" s="8" t="s">
        <v>1015</v>
      </c>
    </row>
    <row r="406" spans="1:7" ht="29" x14ac:dyDescent="0.35">
      <c r="A406" t="str">
        <f>"14.0501"</f>
        <v>14.0501</v>
      </c>
      <c r="B406" t="s">
        <v>1016</v>
      </c>
      <c r="C406" s="8" t="s">
        <v>1017</v>
      </c>
      <c r="D406" t="s">
        <v>250</v>
      </c>
      <c r="E406" t="s">
        <v>251</v>
      </c>
      <c r="F406" t="str">
        <f>"14.0501"</f>
        <v>14.0501</v>
      </c>
      <c r="G406" s="8" t="s">
        <v>1017</v>
      </c>
    </row>
    <row r="407" spans="1:7" x14ac:dyDescent="0.35">
      <c r="A407" t="str">
        <f>"14.0601"</f>
        <v>14.0601</v>
      </c>
      <c r="B407" t="s">
        <v>1018</v>
      </c>
      <c r="C407" s="8" t="s">
        <v>1019</v>
      </c>
      <c r="D407" t="s">
        <v>250</v>
      </c>
      <c r="E407" t="s">
        <v>251</v>
      </c>
      <c r="F407" t="str">
        <f>"14.0601"</f>
        <v>14.0601</v>
      </c>
      <c r="G407" s="8" t="s">
        <v>1019</v>
      </c>
    </row>
    <row r="408" spans="1:7" x14ac:dyDescent="0.35">
      <c r="A408" t="str">
        <f>"14.0701"</f>
        <v>14.0701</v>
      </c>
      <c r="B408" t="s">
        <v>1020</v>
      </c>
      <c r="C408" s="8" t="s">
        <v>1021</v>
      </c>
      <c r="D408" t="s">
        <v>250</v>
      </c>
      <c r="E408" t="s">
        <v>251</v>
      </c>
      <c r="F408" t="str">
        <f>"14.0701"</f>
        <v>14.0701</v>
      </c>
      <c r="G408" s="8" t="s">
        <v>1021</v>
      </c>
    </row>
    <row r="409" spans="1:7" x14ac:dyDescent="0.35">
      <c r="A409" t="str">
        <f>"14.0702"</f>
        <v>14.0702</v>
      </c>
      <c r="B409" t="s">
        <v>1022</v>
      </c>
      <c r="C409" s="8" t="s">
        <v>1023</v>
      </c>
      <c r="D409" t="s">
        <v>250</v>
      </c>
      <c r="E409" t="s">
        <v>251</v>
      </c>
      <c r="F409" t="str">
        <f>"14.0702"</f>
        <v>14.0702</v>
      </c>
      <c r="G409" s="8" t="s">
        <v>1023</v>
      </c>
    </row>
    <row r="410" spans="1:7" x14ac:dyDescent="0.35">
      <c r="A410" t="str">
        <f>"14.0799"</f>
        <v>14.0799</v>
      </c>
      <c r="B410" t="s">
        <v>1024</v>
      </c>
      <c r="C410" s="8" t="s">
        <v>1025</v>
      </c>
      <c r="D410" t="s">
        <v>250</v>
      </c>
      <c r="E410" t="s">
        <v>251</v>
      </c>
      <c r="F410" t="str">
        <f>"14.0799"</f>
        <v>14.0799</v>
      </c>
      <c r="G410" s="8" t="s">
        <v>1025</v>
      </c>
    </row>
    <row r="411" spans="1:7" x14ac:dyDescent="0.35">
      <c r="A411" t="str">
        <f>"14.0801"</f>
        <v>14.0801</v>
      </c>
      <c r="B411" t="s">
        <v>1026</v>
      </c>
      <c r="C411" s="8" t="s">
        <v>1027</v>
      </c>
      <c r="D411" t="s">
        <v>250</v>
      </c>
      <c r="E411" t="s">
        <v>251</v>
      </c>
      <c r="F411" t="str">
        <f>"14.0801"</f>
        <v>14.0801</v>
      </c>
      <c r="G411" s="8" t="s">
        <v>1027</v>
      </c>
    </row>
    <row r="412" spans="1:7" ht="29" x14ac:dyDescent="0.35">
      <c r="A412" t="str">
        <f>"14.0802"</f>
        <v>14.0802</v>
      </c>
      <c r="B412" t="s">
        <v>1028</v>
      </c>
      <c r="C412" s="8" t="s">
        <v>1029</v>
      </c>
      <c r="D412" t="s">
        <v>250</v>
      </c>
      <c r="E412" t="s">
        <v>251</v>
      </c>
      <c r="F412" t="str">
        <f>"14.0802"</f>
        <v>14.0802</v>
      </c>
      <c r="G412" s="8" t="s">
        <v>1029</v>
      </c>
    </row>
    <row r="413" spans="1:7" x14ac:dyDescent="0.35">
      <c r="A413" t="str">
        <f>"14.0803"</f>
        <v>14.0803</v>
      </c>
      <c r="B413" t="s">
        <v>1030</v>
      </c>
      <c r="C413" s="8" t="s">
        <v>1031</v>
      </c>
      <c r="D413" t="s">
        <v>250</v>
      </c>
      <c r="E413" t="s">
        <v>251</v>
      </c>
      <c r="F413" t="str">
        <f>"14.0803"</f>
        <v>14.0803</v>
      </c>
      <c r="G413" s="8" t="s">
        <v>1031</v>
      </c>
    </row>
    <row r="414" spans="1:7" x14ac:dyDescent="0.35">
      <c r="A414" t="str">
        <f>"14.0804"</f>
        <v>14.0804</v>
      </c>
      <c r="B414" t="s">
        <v>1032</v>
      </c>
      <c r="C414" s="8" t="s">
        <v>1033</v>
      </c>
      <c r="D414" t="s">
        <v>250</v>
      </c>
      <c r="E414" t="s">
        <v>251</v>
      </c>
      <c r="F414" t="str">
        <f>"14.0804"</f>
        <v>14.0804</v>
      </c>
      <c r="G414" s="8" t="s">
        <v>1033</v>
      </c>
    </row>
    <row r="415" spans="1:7" x14ac:dyDescent="0.35">
      <c r="A415" t="str">
        <f>"14.0805"</f>
        <v>14.0805</v>
      </c>
      <c r="B415" t="s">
        <v>1034</v>
      </c>
      <c r="C415" s="8" t="s">
        <v>1035</v>
      </c>
      <c r="D415" t="s">
        <v>250</v>
      </c>
      <c r="E415" t="s">
        <v>251</v>
      </c>
      <c r="F415" t="str">
        <f>"14.0805"</f>
        <v>14.0805</v>
      </c>
      <c r="G415" s="8" t="s">
        <v>1035</v>
      </c>
    </row>
    <row r="416" spans="1:7" x14ac:dyDescent="0.35">
      <c r="A416" t="str">
        <f>"14.0899"</f>
        <v>14.0899</v>
      </c>
      <c r="B416" t="s">
        <v>1036</v>
      </c>
      <c r="C416" s="8" t="s">
        <v>1037</v>
      </c>
      <c r="D416" t="s">
        <v>250</v>
      </c>
      <c r="E416" t="s">
        <v>251</v>
      </c>
      <c r="F416" t="str">
        <f>"14.0899"</f>
        <v>14.0899</v>
      </c>
      <c r="G416" s="8" t="s">
        <v>1037</v>
      </c>
    </row>
    <row r="417" spans="1:7" x14ac:dyDescent="0.35">
      <c r="A417" t="str">
        <f>"14.0901"</f>
        <v>14.0901</v>
      </c>
      <c r="B417" t="s">
        <v>1038</v>
      </c>
      <c r="C417" s="8" t="s">
        <v>1039</v>
      </c>
      <c r="D417" t="s">
        <v>250</v>
      </c>
      <c r="E417" t="s">
        <v>251</v>
      </c>
      <c r="F417" t="str">
        <f>"14.0901"</f>
        <v>14.0901</v>
      </c>
      <c r="G417" s="8" t="s">
        <v>1039</v>
      </c>
    </row>
    <row r="418" spans="1:7" x14ac:dyDescent="0.35">
      <c r="A418" t="str">
        <f>"14.0902"</f>
        <v>14.0902</v>
      </c>
      <c r="B418" t="s">
        <v>1040</v>
      </c>
      <c r="C418" s="8" t="s">
        <v>1041</v>
      </c>
      <c r="D418" t="s">
        <v>250</v>
      </c>
      <c r="E418" t="s">
        <v>251</v>
      </c>
      <c r="F418" t="str">
        <f>"14.0902"</f>
        <v>14.0902</v>
      </c>
      <c r="G418" s="8" t="s">
        <v>1041</v>
      </c>
    </row>
    <row r="419" spans="1:7" x14ac:dyDescent="0.35">
      <c r="A419" t="str">
        <f>"14.0903"</f>
        <v>14.0903</v>
      </c>
      <c r="B419" t="s">
        <v>1042</v>
      </c>
      <c r="C419" s="8" t="s">
        <v>1043</v>
      </c>
      <c r="D419" t="s">
        <v>250</v>
      </c>
      <c r="E419" t="s">
        <v>251</v>
      </c>
      <c r="F419" t="str">
        <f>"14.0903"</f>
        <v>14.0903</v>
      </c>
      <c r="G419" s="8" t="s">
        <v>1043</v>
      </c>
    </row>
    <row r="420" spans="1:7" x14ac:dyDescent="0.35">
      <c r="A420" t="str">
        <f>"14.0999"</f>
        <v>14.0999</v>
      </c>
      <c r="B420" t="s">
        <v>1044</v>
      </c>
      <c r="C420" s="8" t="s">
        <v>1045</v>
      </c>
      <c r="D420" t="s">
        <v>250</v>
      </c>
      <c r="E420" t="s">
        <v>251</v>
      </c>
      <c r="F420" t="str">
        <f>"14.0999"</f>
        <v>14.0999</v>
      </c>
      <c r="G420" s="8" t="s">
        <v>1045</v>
      </c>
    </row>
    <row r="421" spans="1:7" x14ac:dyDescent="0.35">
      <c r="A421" t="str">
        <f>"14.1001"</f>
        <v>14.1001</v>
      </c>
      <c r="B421" t="s">
        <v>1046</v>
      </c>
      <c r="C421" s="8" t="s">
        <v>1047</v>
      </c>
      <c r="D421" t="s">
        <v>250</v>
      </c>
      <c r="E421" t="s">
        <v>251</v>
      </c>
      <c r="F421" t="str">
        <f>"14.1001"</f>
        <v>14.1001</v>
      </c>
      <c r="G421" s="8" t="s">
        <v>1048</v>
      </c>
    </row>
    <row r="422" spans="1:7" x14ac:dyDescent="0.35">
      <c r="A422" t="str">
        <f>"14.1003"</f>
        <v>14.1003</v>
      </c>
      <c r="B422" t="s">
        <v>1049</v>
      </c>
      <c r="C422" s="8" t="s">
        <v>1050</v>
      </c>
      <c r="D422" t="s">
        <v>250</v>
      </c>
      <c r="E422" t="s">
        <v>251</v>
      </c>
      <c r="F422" t="str">
        <f>"14.1003"</f>
        <v>14.1003</v>
      </c>
      <c r="G422" s="8" t="s">
        <v>1050</v>
      </c>
    </row>
    <row r="423" spans="1:7" x14ac:dyDescent="0.35">
      <c r="A423" t="str">
        <f>"14.1004"</f>
        <v>14.1004</v>
      </c>
      <c r="B423" t="s">
        <v>1051</v>
      </c>
      <c r="C423" s="8" t="s">
        <v>1052</v>
      </c>
      <c r="D423" t="s">
        <v>250</v>
      </c>
      <c r="E423" t="s">
        <v>251</v>
      </c>
      <c r="F423" t="str">
        <f>"14.1004"</f>
        <v>14.1004</v>
      </c>
      <c r="G423" s="8" t="s">
        <v>1052</v>
      </c>
    </row>
    <row r="424" spans="1:7" ht="29" x14ac:dyDescent="0.35">
      <c r="A424" t="str">
        <f>"14.1099"</f>
        <v>14.1099</v>
      </c>
      <c r="B424" t="s">
        <v>1053</v>
      </c>
      <c r="C424" s="8" t="s">
        <v>1054</v>
      </c>
      <c r="D424" t="s">
        <v>250</v>
      </c>
      <c r="E424" t="s">
        <v>251</v>
      </c>
      <c r="F424" t="str">
        <f>"14.1099"</f>
        <v>14.1099</v>
      </c>
      <c r="G424" s="8" t="s">
        <v>1055</v>
      </c>
    </row>
    <row r="425" spans="1:7" x14ac:dyDescent="0.35">
      <c r="A425" t="str">
        <f>"14.1101"</f>
        <v>14.1101</v>
      </c>
      <c r="B425" t="s">
        <v>1056</v>
      </c>
      <c r="C425" s="8" t="s">
        <v>1057</v>
      </c>
      <c r="D425" t="s">
        <v>250</v>
      </c>
      <c r="E425" t="s">
        <v>251</v>
      </c>
      <c r="F425" t="str">
        <f>"14.1101"</f>
        <v>14.1101</v>
      </c>
      <c r="G425" s="8" t="s">
        <v>1057</v>
      </c>
    </row>
    <row r="426" spans="1:7" x14ac:dyDescent="0.35">
      <c r="A426" t="str">
        <f>"14.1201"</f>
        <v>14.1201</v>
      </c>
      <c r="B426" t="s">
        <v>1058</v>
      </c>
      <c r="C426" s="8" t="s">
        <v>1059</v>
      </c>
      <c r="D426" t="s">
        <v>250</v>
      </c>
      <c r="E426" t="s">
        <v>251</v>
      </c>
      <c r="F426" t="str">
        <f>"14.1201"</f>
        <v>14.1201</v>
      </c>
      <c r="G426" s="8" t="s">
        <v>1059</v>
      </c>
    </row>
    <row r="427" spans="1:7" x14ac:dyDescent="0.35">
      <c r="A427" t="str">
        <f>"14.1301"</f>
        <v>14.1301</v>
      </c>
      <c r="B427" t="s">
        <v>1060</v>
      </c>
      <c r="C427" s="8" t="s">
        <v>1061</v>
      </c>
      <c r="D427" t="s">
        <v>250</v>
      </c>
      <c r="E427" t="s">
        <v>264</v>
      </c>
      <c r="F427" t="str">
        <f>"14.1301"</f>
        <v>14.1301</v>
      </c>
      <c r="G427" s="8" t="s">
        <v>1061</v>
      </c>
    </row>
    <row r="428" spans="1:7" ht="29" x14ac:dyDescent="0.35">
      <c r="A428" t="str">
        <f>"14.1401"</f>
        <v>14.1401</v>
      </c>
      <c r="B428" t="s">
        <v>1062</v>
      </c>
      <c r="C428" s="8" t="s">
        <v>1063</v>
      </c>
      <c r="D428" t="s">
        <v>250</v>
      </c>
      <c r="E428" t="s">
        <v>251</v>
      </c>
      <c r="F428" t="str">
        <f>"14.1401"</f>
        <v>14.1401</v>
      </c>
      <c r="G428" s="8" t="s">
        <v>1063</v>
      </c>
    </row>
    <row r="429" spans="1:7" x14ac:dyDescent="0.35">
      <c r="A429" t="str">
        <f>"14.1801"</f>
        <v>14.1801</v>
      </c>
      <c r="B429" t="s">
        <v>1064</v>
      </c>
      <c r="C429" s="8" t="s">
        <v>1065</v>
      </c>
      <c r="D429" t="s">
        <v>250</v>
      </c>
      <c r="E429" t="s">
        <v>251</v>
      </c>
      <c r="F429" t="str">
        <f>"14.1801"</f>
        <v>14.1801</v>
      </c>
      <c r="G429" s="8" t="s">
        <v>1065</v>
      </c>
    </row>
    <row r="430" spans="1:7" x14ac:dyDescent="0.35">
      <c r="A430" t="str">
        <f>"14.1901"</f>
        <v>14.1901</v>
      </c>
      <c r="B430" t="s">
        <v>1066</v>
      </c>
      <c r="C430" s="8" t="s">
        <v>1067</v>
      </c>
      <c r="D430" t="s">
        <v>250</v>
      </c>
      <c r="E430" t="s">
        <v>251</v>
      </c>
      <c r="F430" t="str">
        <f>"14.1901"</f>
        <v>14.1901</v>
      </c>
      <c r="G430" s="8" t="s">
        <v>1067</v>
      </c>
    </row>
    <row r="431" spans="1:7" x14ac:dyDescent="0.35">
      <c r="A431" t="str">
        <f>"14.2001"</f>
        <v>14.2001</v>
      </c>
      <c r="B431" t="s">
        <v>1068</v>
      </c>
      <c r="C431" s="8" t="s">
        <v>1069</v>
      </c>
      <c r="D431" t="s">
        <v>250</v>
      </c>
      <c r="E431" t="s">
        <v>251</v>
      </c>
      <c r="F431" t="str">
        <f>"14.2001"</f>
        <v>14.2001</v>
      </c>
      <c r="G431" s="8" t="s">
        <v>1069</v>
      </c>
    </row>
    <row r="432" spans="1:7" x14ac:dyDescent="0.35">
      <c r="A432" t="str">
        <f>"14.2101"</f>
        <v>14.2101</v>
      </c>
      <c r="B432" t="s">
        <v>1070</v>
      </c>
      <c r="C432" s="8" t="s">
        <v>1071</v>
      </c>
      <c r="D432" t="s">
        <v>250</v>
      </c>
      <c r="E432" t="s">
        <v>251</v>
      </c>
      <c r="F432" t="str">
        <f>"14.2101"</f>
        <v>14.2101</v>
      </c>
      <c r="G432" s="8" t="s">
        <v>1071</v>
      </c>
    </row>
    <row r="433" spans="1:7" ht="29" x14ac:dyDescent="0.35">
      <c r="A433" t="str">
        <f>"14.2201"</f>
        <v>14.2201</v>
      </c>
      <c r="B433" t="s">
        <v>1072</v>
      </c>
      <c r="C433" s="8" t="s">
        <v>1073</v>
      </c>
      <c r="D433" t="s">
        <v>250</v>
      </c>
      <c r="E433" t="s">
        <v>251</v>
      </c>
      <c r="F433" t="str">
        <f>"14.2201"</f>
        <v>14.2201</v>
      </c>
      <c r="G433" s="8" t="s">
        <v>1073</v>
      </c>
    </row>
    <row r="434" spans="1:7" x14ac:dyDescent="0.35">
      <c r="A434" t="str">
        <f>"14.2301"</f>
        <v>14.2301</v>
      </c>
      <c r="B434" t="s">
        <v>1074</v>
      </c>
      <c r="C434" s="8" t="s">
        <v>1075</v>
      </c>
      <c r="D434" t="s">
        <v>250</v>
      </c>
      <c r="E434" t="s">
        <v>251</v>
      </c>
      <c r="F434" t="str">
        <f>"14.2301"</f>
        <v>14.2301</v>
      </c>
      <c r="G434" s="8" t="s">
        <v>1075</v>
      </c>
    </row>
    <row r="435" spans="1:7" x14ac:dyDescent="0.35">
      <c r="A435" t="str">
        <f>"14.2401"</f>
        <v>14.2401</v>
      </c>
      <c r="B435" t="s">
        <v>1076</v>
      </c>
      <c r="C435" s="8" t="s">
        <v>1077</v>
      </c>
      <c r="D435" t="s">
        <v>250</v>
      </c>
      <c r="E435" t="s">
        <v>251</v>
      </c>
      <c r="F435" t="str">
        <f>"14.2401"</f>
        <v>14.2401</v>
      </c>
      <c r="G435" s="8" t="s">
        <v>1077</v>
      </c>
    </row>
    <row r="436" spans="1:7" x14ac:dyDescent="0.35">
      <c r="A436" t="str">
        <f>"14.2501"</f>
        <v>14.2501</v>
      </c>
      <c r="B436" t="s">
        <v>1078</v>
      </c>
      <c r="C436" s="8" t="s">
        <v>1079</v>
      </c>
      <c r="D436" t="s">
        <v>250</v>
      </c>
      <c r="E436" t="s">
        <v>251</v>
      </c>
      <c r="F436" t="str">
        <f>"14.2501"</f>
        <v>14.2501</v>
      </c>
      <c r="G436" s="8" t="s">
        <v>1079</v>
      </c>
    </row>
    <row r="437" spans="1:7" x14ac:dyDescent="0.35">
      <c r="A437" t="str">
        <f>"14.2701"</f>
        <v>14.2701</v>
      </c>
      <c r="B437" t="s">
        <v>1080</v>
      </c>
      <c r="C437" s="8" t="s">
        <v>1081</v>
      </c>
      <c r="D437" t="s">
        <v>250</v>
      </c>
      <c r="E437" t="s">
        <v>251</v>
      </c>
      <c r="F437" t="str">
        <f>"14.2701"</f>
        <v>14.2701</v>
      </c>
      <c r="G437" s="8" t="s">
        <v>1081</v>
      </c>
    </row>
    <row r="438" spans="1:7" x14ac:dyDescent="0.35">
      <c r="A438" t="str">
        <f>"14.2801"</f>
        <v>14.2801</v>
      </c>
      <c r="B438" t="s">
        <v>1082</v>
      </c>
      <c r="C438" s="8" t="s">
        <v>1083</v>
      </c>
      <c r="D438" t="s">
        <v>250</v>
      </c>
      <c r="E438" t="s">
        <v>251</v>
      </c>
      <c r="F438" t="str">
        <f>"14.2801"</f>
        <v>14.2801</v>
      </c>
      <c r="G438" s="8" t="s">
        <v>1083</v>
      </c>
    </row>
    <row r="439" spans="1:7" x14ac:dyDescent="0.35">
      <c r="A439" t="str">
        <f>"14.3201"</f>
        <v>14.3201</v>
      </c>
      <c r="B439" t="s">
        <v>1084</v>
      </c>
      <c r="C439" s="8" t="s">
        <v>1085</v>
      </c>
      <c r="D439" t="s">
        <v>250</v>
      </c>
      <c r="E439" t="s">
        <v>251</v>
      </c>
      <c r="F439" t="str">
        <f>"14.3201"</f>
        <v>14.3201</v>
      </c>
      <c r="G439" s="8" t="s">
        <v>1085</v>
      </c>
    </row>
    <row r="440" spans="1:7" x14ac:dyDescent="0.35">
      <c r="A440" t="str">
        <f>"14.3301"</f>
        <v>14.3301</v>
      </c>
      <c r="B440" t="s">
        <v>1086</v>
      </c>
      <c r="C440" s="8" t="s">
        <v>1087</v>
      </c>
      <c r="D440" t="s">
        <v>250</v>
      </c>
      <c r="E440" t="s">
        <v>251</v>
      </c>
      <c r="F440" t="str">
        <f>"14.3301"</f>
        <v>14.3301</v>
      </c>
      <c r="G440" s="8" t="s">
        <v>1087</v>
      </c>
    </row>
    <row r="441" spans="1:7" x14ac:dyDescent="0.35">
      <c r="A441" t="str">
        <f>"14.3401"</f>
        <v>14.3401</v>
      </c>
      <c r="B441" t="s">
        <v>1088</v>
      </c>
      <c r="C441" s="8" t="s">
        <v>1089</v>
      </c>
      <c r="D441" t="s">
        <v>250</v>
      </c>
      <c r="E441" t="s">
        <v>251</v>
      </c>
      <c r="F441" t="str">
        <f>"14.3401"</f>
        <v>14.3401</v>
      </c>
      <c r="G441" s="8" t="s">
        <v>1089</v>
      </c>
    </row>
    <row r="442" spans="1:7" x14ac:dyDescent="0.35">
      <c r="A442" t="str">
        <f>"14.3501"</f>
        <v>14.3501</v>
      </c>
      <c r="B442" t="s">
        <v>1090</v>
      </c>
      <c r="C442" s="8" t="s">
        <v>1091</v>
      </c>
      <c r="D442" t="s">
        <v>250</v>
      </c>
      <c r="E442" t="s">
        <v>251</v>
      </c>
      <c r="F442" t="str">
        <f>"14.3501"</f>
        <v>14.3501</v>
      </c>
      <c r="G442" s="8" t="s">
        <v>1091</v>
      </c>
    </row>
    <row r="443" spans="1:7" x14ac:dyDescent="0.35">
      <c r="A443" t="str">
        <f>"14.3601"</f>
        <v>14.3601</v>
      </c>
      <c r="B443" t="s">
        <v>1092</v>
      </c>
      <c r="C443" s="8" t="s">
        <v>1093</v>
      </c>
      <c r="D443" t="s">
        <v>250</v>
      </c>
      <c r="E443" t="s">
        <v>251</v>
      </c>
      <c r="F443" t="str">
        <f>"14.3601"</f>
        <v>14.3601</v>
      </c>
      <c r="G443" s="8" t="s">
        <v>1093</v>
      </c>
    </row>
    <row r="444" spans="1:7" x14ac:dyDescent="0.35">
      <c r="A444" t="str">
        <f>"14.3701"</f>
        <v>14.3701</v>
      </c>
      <c r="B444" t="s">
        <v>1094</v>
      </c>
      <c r="C444" s="8" t="s">
        <v>1095</v>
      </c>
      <c r="D444" t="s">
        <v>250</v>
      </c>
      <c r="E444" t="s">
        <v>251</v>
      </c>
      <c r="F444" t="str">
        <f>"14.3701"</f>
        <v>14.3701</v>
      </c>
      <c r="G444" s="8" t="s">
        <v>1095</v>
      </c>
    </row>
    <row r="445" spans="1:7" x14ac:dyDescent="0.35">
      <c r="A445" t="str">
        <f>"14.3801"</f>
        <v>14.3801</v>
      </c>
      <c r="B445" t="s">
        <v>1096</v>
      </c>
      <c r="C445" s="8" t="s">
        <v>1097</v>
      </c>
      <c r="D445" t="s">
        <v>250</v>
      </c>
      <c r="E445" t="s">
        <v>251</v>
      </c>
      <c r="F445" t="str">
        <f>"14.3801"</f>
        <v>14.3801</v>
      </c>
      <c r="G445" s="8" t="s">
        <v>1097</v>
      </c>
    </row>
    <row r="446" spans="1:7" x14ac:dyDescent="0.35">
      <c r="A446" t="str">
        <f>"14.3901"</f>
        <v>14.3901</v>
      </c>
      <c r="B446" t="s">
        <v>1098</v>
      </c>
      <c r="C446" s="8" t="s">
        <v>1099</v>
      </c>
      <c r="D446" t="s">
        <v>250</v>
      </c>
      <c r="E446" t="s">
        <v>251</v>
      </c>
      <c r="F446" t="str">
        <f>"14.3901"</f>
        <v>14.3901</v>
      </c>
      <c r="G446" s="8" t="s">
        <v>1099</v>
      </c>
    </row>
    <row r="447" spans="1:7" x14ac:dyDescent="0.35">
      <c r="A447" t="str">
        <f>"14.4001"</f>
        <v>14.4001</v>
      </c>
      <c r="B447" t="s">
        <v>1100</v>
      </c>
      <c r="C447" s="8" t="s">
        <v>1101</v>
      </c>
      <c r="D447" t="s">
        <v>250</v>
      </c>
      <c r="E447" t="s">
        <v>251</v>
      </c>
      <c r="F447" t="str">
        <f>"14.4001"</f>
        <v>14.4001</v>
      </c>
      <c r="G447" s="8" t="s">
        <v>1101</v>
      </c>
    </row>
    <row r="448" spans="1:7" x14ac:dyDescent="0.35">
      <c r="A448" t="str">
        <f>"14.4101"</f>
        <v>14.4101</v>
      </c>
      <c r="B448" t="s">
        <v>1102</v>
      </c>
      <c r="C448" s="8" t="s">
        <v>1103</v>
      </c>
      <c r="D448" t="s">
        <v>250</v>
      </c>
      <c r="E448" t="s">
        <v>251</v>
      </c>
      <c r="F448" t="str">
        <f>"14.4101"</f>
        <v>14.4101</v>
      </c>
      <c r="G448" s="8" t="s">
        <v>1103</v>
      </c>
    </row>
    <row r="449" spans="1:7" ht="29" x14ac:dyDescent="0.35">
      <c r="A449" t="str">
        <f>"14.4201"</f>
        <v>14.4201</v>
      </c>
      <c r="B449" t="s">
        <v>1104</v>
      </c>
      <c r="C449" s="8" t="s">
        <v>1105</v>
      </c>
      <c r="D449" t="s">
        <v>250</v>
      </c>
      <c r="E449" t="s">
        <v>251</v>
      </c>
      <c r="F449" t="str">
        <f>"14.4201"</f>
        <v>14.4201</v>
      </c>
      <c r="G449" s="8" t="s">
        <v>1105</v>
      </c>
    </row>
    <row r="450" spans="1:7" x14ac:dyDescent="0.35">
      <c r="A450" t="str">
        <f>"14.4301"</f>
        <v>14.4301</v>
      </c>
      <c r="B450" t="s">
        <v>1106</v>
      </c>
      <c r="C450" s="8" t="s">
        <v>1107</v>
      </c>
      <c r="D450" t="s">
        <v>250</v>
      </c>
      <c r="E450" t="s">
        <v>251</v>
      </c>
      <c r="F450" t="str">
        <f>"14.4301"</f>
        <v>14.4301</v>
      </c>
      <c r="G450" s="8" t="s">
        <v>1107</v>
      </c>
    </row>
    <row r="451" spans="1:7" x14ac:dyDescent="0.35">
      <c r="A451" t="str">
        <f>"14.4401"</f>
        <v>14.4401</v>
      </c>
      <c r="B451" t="s">
        <v>1108</v>
      </c>
      <c r="C451" s="8" t="s">
        <v>1109</v>
      </c>
      <c r="D451" t="s">
        <v>250</v>
      </c>
      <c r="E451" t="s">
        <v>251</v>
      </c>
      <c r="F451" t="str">
        <f>"14.4401"</f>
        <v>14.4401</v>
      </c>
      <c r="G451" s="8" t="s">
        <v>1109</v>
      </c>
    </row>
    <row r="452" spans="1:7" x14ac:dyDescent="0.35">
      <c r="A452" t="str">
        <f>"14.4501"</f>
        <v>14.4501</v>
      </c>
      <c r="B452" t="s">
        <v>1110</v>
      </c>
      <c r="C452" s="8" t="s">
        <v>1111</v>
      </c>
      <c r="D452" t="s">
        <v>250</v>
      </c>
      <c r="E452" t="s">
        <v>251</v>
      </c>
      <c r="F452" t="str">
        <f>"14.4501"</f>
        <v>14.4501</v>
      </c>
      <c r="G452" s="8" t="s">
        <v>1111</v>
      </c>
    </row>
    <row r="453" spans="1:7" x14ac:dyDescent="0.35">
      <c r="D453" t="s">
        <v>275</v>
      </c>
      <c r="E453" t="s">
        <v>251</v>
      </c>
      <c r="F453" t="str">
        <f>"14.4701"</f>
        <v>14.4701</v>
      </c>
      <c r="G453" s="8" t="s">
        <v>1112</v>
      </c>
    </row>
    <row r="454" spans="1:7" x14ac:dyDescent="0.35">
      <c r="D454" t="s">
        <v>275</v>
      </c>
      <c r="E454" t="s">
        <v>251</v>
      </c>
      <c r="F454" t="str">
        <f>"14.4801"</f>
        <v>14.4801</v>
      </c>
      <c r="G454" s="8" t="s">
        <v>1113</v>
      </c>
    </row>
    <row r="455" spans="1:7" x14ac:dyDescent="0.35">
      <c r="D455" t="s">
        <v>275</v>
      </c>
      <c r="E455" t="s">
        <v>251</v>
      </c>
      <c r="F455" t="str">
        <f>"14.4802"</f>
        <v>14.4802</v>
      </c>
      <c r="G455" s="8" t="s">
        <v>1114</v>
      </c>
    </row>
    <row r="456" spans="1:7" x14ac:dyDescent="0.35">
      <c r="D456" t="s">
        <v>275</v>
      </c>
      <c r="E456" t="s">
        <v>251</v>
      </c>
      <c r="F456" t="str">
        <f>"14.4899"</f>
        <v>14.4899</v>
      </c>
      <c r="G456" s="8" t="s">
        <v>1115</v>
      </c>
    </row>
    <row r="457" spans="1:7" x14ac:dyDescent="0.35">
      <c r="A457" t="str">
        <f>"14.9999"</f>
        <v>14.9999</v>
      </c>
      <c r="B457" t="s">
        <v>1116</v>
      </c>
      <c r="C457" s="8" t="s">
        <v>1117</v>
      </c>
      <c r="D457" t="s">
        <v>250</v>
      </c>
      <c r="E457" t="s">
        <v>251</v>
      </c>
      <c r="F457" t="str">
        <f>"14.9999"</f>
        <v>14.9999</v>
      </c>
      <c r="G457" s="8" t="s">
        <v>1117</v>
      </c>
    </row>
    <row r="458" spans="1:7" x14ac:dyDescent="0.35">
      <c r="A458" t="str">
        <f>"15.0000"</f>
        <v>15.0000</v>
      </c>
      <c r="B458" t="s">
        <v>1118</v>
      </c>
      <c r="C458" s="8" t="s">
        <v>1119</v>
      </c>
      <c r="D458" t="s">
        <v>250</v>
      </c>
      <c r="E458" t="s">
        <v>264</v>
      </c>
      <c r="F458" t="str">
        <f>"15.0000"</f>
        <v>15.0000</v>
      </c>
      <c r="G458" s="8" t="s">
        <v>1120</v>
      </c>
    </row>
    <row r="459" spans="1:7" x14ac:dyDescent="0.35">
      <c r="D459" t="s">
        <v>275</v>
      </c>
      <c r="E459" t="s">
        <v>251</v>
      </c>
      <c r="F459" t="str">
        <f>"15.0001"</f>
        <v>15.0001</v>
      </c>
      <c r="G459" s="8" t="s">
        <v>1121</v>
      </c>
    </row>
    <row r="460" spans="1:7" ht="29" x14ac:dyDescent="0.35">
      <c r="A460" t="str">
        <f>"15.0101"</f>
        <v>15.0101</v>
      </c>
      <c r="B460" t="s">
        <v>1122</v>
      </c>
      <c r="C460" s="8" t="s">
        <v>1123</v>
      </c>
      <c r="D460" t="s">
        <v>250</v>
      </c>
      <c r="E460" t="s">
        <v>264</v>
      </c>
      <c r="F460" t="str">
        <f>"15.0101"</f>
        <v>15.0101</v>
      </c>
      <c r="G460" s="8" t="s">
        <v>1124</v>
      </c>
    </row>
    <row r="461" spans="1:7" x14ac:dyDescent="0.35">
      <c r="A461" t="str">
        <f>"15.0201"</f>
        <v>15.0201</v>
      </c>
      <c r="B461" t="s">
        <v>1125</v>
      </c>
      <c r="C461" s="8" t="s">
        <v>1126</v>
      </c>
      <c r="D461" t="s">
        <v>250</v>
      </c>
      <c r="E461" t="s">
        <v>264</v>
      </c>
      <c r="F461" t="str">
        <f>"15.0201"</f>
        <v>15.0201</v>
      </c>
      <c r="G461" s="8" t="s">
        <v>1127</v>
      </c>
    </row>
    <row r="462" spans="1:7" ht="29" x14ac:dyDescent="0.35">
      <c r="A462" t="str">
        <f>"15.0303"</f>
        <v>15.0303</v>
      </c>
      <c r="B462" t="s">
        <v>1128</v>
      </c>
      <c r="C462" s="8" t="s">
        <v>1129</v>
      </c>
      <c r="D462" t="s">
        <v>250</v>
      </c>
      <c r="E462" t="s">
        <v>264</v>
      </c>
      <c r="F462" t="str">
        <f>"15.0303"</f>
        <v>15.0303</v>
      </c>
      <c r="G462" s="8" t="s">
        <v>1130</v>
      </c>
    </row>
    <row r="463" spans="1:7" x14ac:dyDescent="0.35">
      <c r="A463" t="str">
        <f>"15.0304"</f>
        <v>15.0304</v>
      </c>
      <c r="B463" t="s">
        <v>1131</v>
      </c>
      <c r="C463" s="8" t="s">
        <v>1132</v>
      </c>
      <c r="D463" t="s">
        <v>250</v>
      </c>
      <c r="E463" t="s">
        <v>264</v>
      </c>
      <c r="F463" t="str">
        <f>"15.0304"</f>
        <v>15.0304</v>
      </c>
      <c r="G463" s="8" t="s">
        <v>1132</v>
      </c>
    </row>
    <row r="464" spans="1:7" ht="29" x14ac:dyDescent="0.35">
      <c r="A464" t="str">
        <f>"15.0305"</f>
        <v>15.0305</v>
      </c>
      <c r="B464" t="s">
        <v>1133</v>
      </c>
      <c r="C464" s="8" t="s">
        <v>1134</v>
      </c>
      <c r="D464" t="s">
        <v>250</v>
      </c>
      <c r="E464" t="s">
        <v>264</v>
      </c>
      <c r="F464" t="str">
        <f>"15.0305"</f>
        <v>15.0305</v>
      </c>
      <c r="G464" s="8" t="s">
        <v>1134</v>
      </c>
    </row>
    <row r="465" spans="1:7" x14ac:dyDescent="0.35">
      <c r="A465" t="str">
        <f>"15.0306"</f>
        <v>15.0306</v>
      </c>
      <c r="B465" t="s">
        <v>1135</v>
      </c>
      <c r="C465" s="8" t="s">
        <v>1136</v>
      </c>
      <c r="D465" t="s">
        <v>250</v>
      </c>
      <c r="E465" t="s">
        <v>264</v>
      </c>
      <c r="F465" t="str">
        <f>"15.0306"</f>
        <v>15.0306</v>
      </c>
      <c r="G465" s="8" t="s">
        <v>1137</v>
      </c>
    </row>
    <row r="466" spans="1:7" x14ac:dyDescent="0.35">
      <c r="D466" t="s">
        <v>275</v>
      </c>
      <c r="E466" t="s">
        <v>251</v>
      </c>
      <c r="F466" t="str">
        <f>"15.0307"</f>
        <v>15.0307</v>
      </c>
      <c r="G466" s="8" t="s">
        <v>1138</v>
      </c>
    </row>
    <row r="467" spans="1:7" ht="29" x14ac:dyDescent="0.35">
      <c r="A467" t="str">
        <f>"15.0399"</f>
        <v>15.0399</v>
      </c>
      <c r="B467" t="s">
        <v>1139</v>
      </c>
      <c r="C467" s="8" t="s">
        <v>1140</v>
      </c>
      <c r="D467" t="s">
        <v>250</v>
      </c>
      <c r="E467" t="s">
        <v>264</v>
      </c>
      <c r="F467" t="str">
        <f>"15.0399"</f>
        <v>15.0399</v>
      </c>
      <c r="G467" s="8" t="s">
        <v>1141</v>
      </c>
    </row>
    <row r="468" spans="1:7" x14ac:dyDescent="0.35">
      <c r="A468" t="str">
        <f>"15.0401"</f>
        <v>15.0401</v>
      </c>
      <c r="B468" t="s">
        <v>1142</v>
      </c>
      <c r="C468" s="8" t="s">
        <v>1143</v>
      </c>
      <c r="D468" t="s">
        <v>250</v>
      </c>
      <c r="E468" t="s">
        <v>251</v>
      </c>
      <c r="F468" t="str">
        <f>"15.0401"</f>
        <v>15.0401</v>
      </c>
      <c r="G468" s="8" t="s">
        <v>1143</v>
      </c>
    </row>
    <row r="469" spans="1:7" ht="43.5" x14ac:dyDescent="0.35">
      <c r="A469" t="str">
        <f>"15.0403"</f>
        <v>15.0403</v>
      </c>
      <c r="B469" t="s">
        <v>1144</v>
      </c>
      <c r="C469" s="8" t="s">
        <v>1145</v>
      </c>
      <c r="D469" t="s">
        <v>250</v>
      </c>
      <c r="E469" t="s">
        <v>264</v>
      </c>
      <c r="F469" t="str">
        <f>"15.0403"</f>
        <v>15.0403</v>
      </c>
      <c r="G469" s="8" t="s">
        <v>1146</v>
      </c>
    </row>
    <row r="470" spans="1:7" x14ac:dyDescent="0.35">
      <c r="A470" t="str">
        <f>"15.0404"</f>
        <v>15.0404</v>
      </c>
      <c r="B470" t="s">
        <v>1147</v>
      </c>
      <c r="C470" s="8" t="s">
        <v>1148</v>
      </c>
      <c r="D470" t="s">
        <v>250</v>
      </c>
      <c r="E470" t="s">
        <v>251</v>
      </c>
      <c r="F470" t="str">
        <f>"15.0404"</f>
        <v>15.0404</v>
      </c>
      <c r="G470" s="8" t="s">
        <v>1148</v>
      </c>
    </row>
    <row r="471" spans="1:7" x14ac:dyDescent="0.35">
      <c r="A471" t="str">
        <f>"15.0405"</f>
        <v>15.0405</v>
      </c>
      <c r="B471" t="s">
        <v>1149</v>
      </c>
      <c r="C471" s="8" t="s">
        <v>1150</v>
      </c>
      <c r="D471" t="s">
        <v>250</v>
      </c>
      <c r="E471" t="s">
        <v>251</v>
      </c>
      <c r="F471" t="str">
        <f>"15.0405"</f>
        <v>15.0405</v>
      </c>
      <c r="G471" s="8" t="s">
        <v>1150</v>
      </c>
    </row>
    <row r="472" spans="1:7" ht="29" x14ac:dyDescent="0.35">
      <c r="A472" t="str">
        <f>"15.0406"</f>
        <v>15.0406</v>
      </c>
      <c r="B472" t="s">
        <v>1151</v>
      </c>
      <c r="C472" s="8" t="s">
        <v>1152</v>
      </c>
      <c r="D472" t="s">
        <v>250</v>
      </c>
      <c r="E472" t="s">
        <v>251</v>
      </c>
      <c r="F472" t="str">
        <f>"15.0406"</f>
        <v>15.0406</v>
      </c>
      <c r="G472" s="8" t="s">
        <v>1152</v>
      </c>
    </row>
    <row r="473" spans="1:7" ht="29" x14ac:dyDescent="0.35">
      <c r="D473" t="s">
        <v>275</v>
      </c>
      <c r="E473" t="s">
        <v>251</v>
      </c>
      <c r="F473" t="str">
        <f>"15.0407"</f>
        <v>15.0407</v>
      </c>
      <c r="G473" s="8" t="s">
        <v>1153</v>
      </c>
    </row>
    <row r="474" spans="1:7" ht="43.5" x14ac:dyDescent="0.35">
      <c r="A474" t="str">
        <f>"15.0499"</f>
        <v>15.0499</v>
      </c>
      <c r="B474" t="s">
        <v>1154</v>
      </c>
      <c r="C474" s="8" t="s">
        <v>1155</v>
      </c>
      <c r="D474" t="s">
        <v>250</v>
      </c>
      <c r="E474" t="s">
        <v>264</v>
      </c>
      <c r="F474" t="str">
        <f>"15.0499"</f>
        <v>15.0499</v>
      </c>
      <c r="G474" s="8" t="s">
        <v>1156</v>
      </c>
    </row>
    <row r="475" spans="1:7" ht="43.5" x14ac:dyDescent="0.35">
      <c r="A475" t="str">
        <f>"15.0501"</f>
        <v>15.0501</v>
      </c>
      <c r="B475" t="s">
        <v>1157</v>
      </c>
      <c r="C475" s="8" t="s">
        <v>1158</v>
      </c>
      <c r="D475" t="s">
        <v>250</v>
      </c>
      <c r="E475" t="s">
        <v>251</v>
      </c>
      <c r="F475" t="str">
        <f>"15.0501"</f>
        <v>15.0501</v>
      </c>
      <c r="G475" s="8" t="s">
        <v>1158</v>
      </c>
    </row>
    <row r="476" spans="1:7" ht="29" x14ac:dyDescent="0.35">
      <c r="A476" t="str">
        <f>"15.0503"</f>
        <v>15.0503</v>
      </c>
      <c r="B476" t="s">
        <v>1159</v>
      </c>
      <c r="C476" s="8" t="s">
        <v>1160</v>
      </c>
      <c r="D476" t="s">
        <v>295</v>
      </c>
      <c r="E476" t="s">
        <v>264</v>
      </c>
      <c r="F476" t="str">
        <f>"15.1701"</f>
        <v>15.1701</v>
      </c>
      <c r="G476" s="8" t="s">
        <v>1161</v>
      </c>
    </row>
    <row r="477" spans="1:7" x14ac:dyDescent="0.35">
      <c r="A477" t="str">
        <f>"15.0505"</f>
        <v>15.0505</v>
      </c>
      <c r="B477" t="s">
        <v>1162</v>
      </c>
      <c r="C477" s="8" t="s">
        <v>1163</v>
      </c>
      <c r="D477" t="s">
        <v>295</v>
      </c>
      <c r="E477" t="s">
        <v>251</v>
      </c>
      <c r="F477" t="str">
        <f>"15.1703"</f>
        <v>15.1703</v>
      </c>
      <c r="G477" s="8" t="s">
        <v>1163</v>
      </c>
    </row>
    <row r="478" spans="1:7" ht="43.5" x14ac:dyDescent="0.35">
      <c r="A478" t="str">
        <f>"15.0506"</f>
        <v>15.0506</v>
      </c>
      <c r="B478" t="s">
        <v>1164</v>
      </c>
      <c r="C478" s="8" t="s">
        <v>1165</v>
      </c>
      <c r="D478" t="s">
        <v>250</v>
      </c>
      <c r="E478" t="s">
        <v>251</v>
      </c>
      <c r="F478" t="str">
        <f>"15.0506"</f>
        <v>15.0506</v>
      </c>
      <c r="G478" s="8" t="s">
        <v>1165</v>
      </c>
    </row>
    <row r="479" spans="1:7" ht="29" x14ac:dyDescent="0.35">
      <c r="A479" t="str">
        <f>"15.0507"</f>
        <v>15.0507</v>
      </c>
      <c r="B479" t="s">
        <v>1166</v>
      </c>
      <c r="C479" s="8" t="s">
        <v>1167</v>
      </c>
      <c r="D479" t="s">
        <v>250</v>
      </c>
      <c r="E479" t="s">
        <v>264</v>
      </c>
      <c r="F479" t="str">
        <f>"15.0507"</f>
        <v>15.0507</v>
      </c>
      <c r="G479" s="8" t="s">
        <v>1168</v>
      </c>
    </row>
    <row r="480" spans="1:7" ht="29" x14ac:dyDescent="0.35">
      <c r="A480" t="str">
        <f>"15.0508"</f>
        <v>15.0508</v>
      </c>
      <c r="B480" t="s">
        <v>1169</v>
      </c>
      <c r="C480" s="8" t="s">
        <v>1170</v>
      </c>
      <c r="D480" t="s">
        <v>250</v>
      </c>
      <c r="E480" t="s">
        <v>251</v>
      </c>
      <c r="F480" t="str">
        <f>"15.0508"</f>
        <v>15.0508</v>
      </c>
      <c r="G480" s="8" t="s">
        <v>1170</v>
      </c>
    </row>
    <row r="481" spans="1:7" ht="29" x14ac:dyDescent="0.35">
      <c r="A481" t="str">
        <f>"15.0599"</f>
        <v>15.0599</v>
      </c>
      <c r="B481" t="s">
        <v>1171</v>
      </c>
      <c r="C481" s="8" t="s">
        <v>1172</v>
      </c>
      <c r="D481" t="s">
        <v>250</v>
      </c>
      <c r="E481" t="s">
        <v>264</v>
      </c>
      <c r="F481" t="str">
        <f>"15.0599"</f>
        <v>15.0599</v>
      </c>
      <c r="G481" s="8" t="s">
        <v>1172</v>
      </c>
    </row>
    <row r="482" spans="1:7" ht="29" x14ac:dyDescent="0.35">
      <c r="A482" t="str">
        <f>"15.0607"</f>
        <v>15.0607</v>
      </c>
      <c r="B482" t="s">
        <v>1173</v>
      </c>
      <c r="C482" s="8" t="s">
        <v>1174</v>
      </c>
      <c r="D482" t="s">
        <v>250</v>
      </c>
      <c r="E482" t="s">
        <v>251</v>
      </c>
      <c r="F482" t="str">
        <f>"15.0607"</f>
        <v>15.0607</v>
      </c>
      <c r="G482" s="8" t="s">
        <v>1174</v>
      </c>
    </row>
    <row r="483" spans="1:7" x14ac:dyDescent="0.35">
      <c r="A483" t="str">
        <f>"15.0611"</f>
        <v>15.0611</v>
      </c>
      <c r="B483" t="s">
        <v>1175</v>
      </c>
      <c r="C483" s="8" t="s">
        <v>1176</v>
      </c>
      <c r="D483" t="s">
        <v>250</v>
      </c>
      <c r="E483" t="s">
        <v>251</v>
      </c>
      <c r="F483" t="str">
        <f>"15.0611"</f>
        <v>15.0611</v>
      </c>
      <c r="G483" s="8" t="s">
        <v>1176</v>
      </c>
    </row>
    <row r="484" spans="1:7" x14ac:dyDescent="0.35">
      <c r="A484" t="str">
        <f>"15.0612"</f>
        <v>15.0612</v>
      </c>
      <c r="B484" t="s">
        <v>1177</v>
      </c>
      <c r="C484" s="8" t="s">
        <v>1178</v>
      </c>
      <c r="D484" t="s">
        <v>250</v>
      </c>
      <c r="E484" t="s">
        <v>251</v>
      </c>
      <c r="F484" t="str">
        <f>"15.0612"</f>
        <v>15.0612</v>
      </c>
      <c r="G484" s="8" t="s">
        <v>1178</v>
      </c>
    </row>
    <row r="485" spans="1:7" ht="29" x14ac:dyDescent="0.35">
      <c r="A485" t="str">
        <f>"15.0613"</f>
        <v>15.0613</v>
      </c>
      <c r="B485" t="s">
        <v>1179</v>
      </c>
      <c r="C485" s="8" t="s">
        <v>1180</v>
      </c>
      <c r="D485" t="s">
        <v>250</v>
      </c>
      <c r="E485" t="s">
        <v>251</v>
      </c>
      <c r="F485" t="str">
        <f>"15.0613"</f>
        <v>15.0613</v>
      </c>
      <c r="G485" s="8" t="s">
        <v>1180</v>
      </c>
    </row>
    <row r="486" spans="1:7" ht="29" x14ac:dyDescent="0.35">
      <c r="A486" t="str">
        <f>"15.0614"</f>
        <v>15.0614</v>
      </c>
      <c r="B486" t="s">
        <v>1181</v>
      </c>
      <c r="C486" s="8" t="s">
        <v>1182</v>
      </c>
      <c r="D486" t="s">
        <v>250</v>
      </c>
      <c r="E486" t="s">
        <v>251</v>
      </c>
      <c r="F486" t="str">
        <f>"15.0614"</f>
        <v>15.0614</v>
      </c>
      <c r="G486" s="8" t="s">
        <v>1182</v>
      </c>
    </row>
    <row r="487" spans="1:7" ht="29" x14ac:dyDescent="0.35">
      <c r="A487" t="str">
        <f>"15.0615"</f>
        <v>15.0615</v>
      </c>
      <c r="B487" t="s">
        <v>1183</v>
      </c>
      <c r="C487" s="8" t="s">
        <v>1184</v>
      </c>
      <c r="D487" t="s">
        <v>250</v>
      </c>
      <c r="E487" t="s">
        <v>251</v>
      </c>
      <c r="F487" t="str">
        <f>"15.0615"</f>
        <v>15.0615</v>
      </c>
      <c r="G487" s="8" t="s">
        <v>1184</v>
      </c>
    </row>
    <row r="488" spans="1:7" ht="29" x14ac:dyDescent="0.35">
      <c r="A488" t="str">
        <f>"15.0616"</f>
        <v>15.0616</v>
      </c>
      <c r="B488" t="s">
        <v>1185</v>
      </c>
      <c r="C488" s="8" t="s">
        <v>1186</v>
      </c>
      <c r="D488" t="s">
        <v>250</v>
      </c>
      <c r="E488" t="s">
        <v>264</v>
      </c>
      <c r="F488" t="str">
        <f>"15.0616"</f>
        <v>15.0616</v>
      </c>
      <c r="G488" s="8" t="s">
        <v>1187</v>
      </c>
    </row>
    <row r="489" spans="1:7" x14ac:dyDescent="0.35">
      <c r="D489" t="s">
        <v>275</v>
      </c>
      <c r="E489" t="s">
        <v>251</v>
      </c>
      <c r="F489" t="str">
        <f>"15.0617"</f>
        <v>15.0617</v>
      </c>
      <c r="G489" s="8" t="s">
        <v>1188</v>
      </c>
    </row>
    <row r="490" spans="1:7" ht="29" x14ac:dyDescent="0.35">
      <c r="A490" t="str">
        <f>"15.0699"</f>
        <v>15.0699</v>
      </c>
      <c r="B490" t="s">
        <v>1189</v>
      </c>
      <c r="C490" s="8" t="s">
        <v>1190</v>
      </c>
      <c r="D490" t="s">
        <v>250</v>
      </c>
      <c r="E490" t="s">
        <v>264</v>
      </c>
      <c r="F490" t="str">
        <f>"15.0699"</f>
        <v>15.0699</v>
      </c>
      <c r="G490" s="8" t="s">
        <v>1190</v>
      </c>
    </row>
    <row r="491" spans="1:7" ht="29" x14ac:dyDescent="0.35">
      <c r="A491" t="str">
        <f>"15.0701"</f>
        <v>15.0701</v>
      </c>
      <c r="B491" t="s">
        <v>1191</v>
      </c>
      <c r="C491" s="8" t="s">
        <v>1192</v>
      </c>
      <c r="D491" t="s">
        <v>250</v>
      </c>
      <c r="E491" t="s">
        <v>251</v>
      </c>
      <c r="F491" t="str">
        <f>"15.0701"</f>
        <v>15.0701</v>
      </c>
      <c r="G491" s="8" t="s">
        <v>1192</v>
      </c>
    </row>
    <row r="492" spans="1:7" x14ac:dyDescent="0.35">
      <c r="A492" t="str">
        <f>"15.0702"</f>
        <v>15.0702</v>
      </c>
      <c r="B492" t="s">
        <v>1193</v>
      </c>
      <c r="C492" s="8" t="s">
        <v>1194</v>
      </c>
      <c r="D492" t="s">
        <v>250</v>
      </c>
      <c r="E492" t="s">
        <v>251</v>
      </c>
      <c r="F492" t="str">
        <f>"15.0702"</f>
        <v>15.0702</v>
      </c>
      <c r="G492" s="8" t="s">
        <v>1194</v>
      </c>
    </row>
    <row r="493" spans="1:7" x14ac:dyDescent="0.35">
      <c r="A493" t="str">
        <f>"15.0703"</f>
        <v>15.0703</v>
      </c>
      <c r="B493" t="s">
        <v>1195</v>
      </c>
      <c r="C493" s="8" t="s">
        <v>1196</v>
      </c>
      <c r="D493" t="s">
        <v>250</v>
      </c>
      <c r="E493" t="s">
        <v>264</v>
      </c>
      <c r="F493" t="str">
        <f>"15.0703"</f>
        <v>15.0703</v>
      </c>
      <c r="G493" s="8" t="s">
        <v>1196</v>
      </c>
    </row>
    <row r="494" spans="1:7" ht="29" x14ac:dyDescent="0.35">
      <c r="A494" t="str">
        <f>"15.0704"</f>
        <v>15.0704</v>
      </c>
      <c r="B494" t="s">
        <v>1197</v>
      </c>
      <c r="C494" s="8" t="s">
        <v>1198</v>
      </c>
      <c r="D494" t="s">
        <v>250</v>
      </c>
      <c r="E494" t="s">
        <v>251</v>
      </c>
      <c r="F494" t="str">
        <f>"15.0704"</f>
        <v>15.0704</v>
      </c>
      <c r="G494" s="8" t="s">
        <v>1198</v>
      </c>
    </row>
    <row r="495" spans="1:7" x14ac:dyDescent="0.35">
      <c r="D495" t="s">
        <v>275</v>
      </c>
      <c r="E495" t="s">
        <v>251</v>
      </c>
      <c r="F495" t="str">
        <f>"15.0705"</f>
        <v>15.0705</v>
      </c>
      <c r="G495" s="8" t="s">
        <v>1199</v>
      </c>
    </row>
    <row r="496" spans="1:7" ht="29" x14ac:dyDescent="0.35">
      <c r="A496" t="str">
        <f>"15.0799"</f>
        <v>15.0799</v>
      </c>
      <c r="B496" t="s">
        <v>1200</v>
      </c>
      <c r="C496" s="8" t="s">
        <v>1201</v>
      </c>
      <c r="D496" t="s">
        <v>250</v>
      </c>
      <c r="E496" t="s">
        <v>251</v>
      </c>
      <c r="F496" t="str">
        <f>"15.0799"</f>
        <v>15.0799</v>
      </c>
      <c r="G496" s="8" t="s">
        <v>1201</v>
      </c>
    </row>
    <row r="497" spans="1:7" ht="29" x14ac:dyDescent="0.35">
      <c r="A497" t="str">
        <f>"15.0801"</f>
        <v>15.0801</v>
      </c>
      <c r="B497" t="s">
        <v>1202</v>
      </c>
      <c r="C497" s="8" t="s">
        <v>1203</v>
      </c>
      <c r="D497" t="s">
        <v>250</v>
      </c>
      <c r="E497" t="s">
        <v>251</v>
      </c>
      <c r="F497" t="str">
        <f>"15.0801"</f>
        <v>15.0801</v>
      </c>
      <c r="G497" s="8" t="s">
        <v>1203</v>
      </c>
    </row>
    <row r="498" spans="1:7" ht="29" x14ac:dyDescent="0.35">
      <c r="A498" t="str">
        <f>"15.0803"</f>
        <v>15.0803</v>
      </c>
      <c r="B498" t="s">
        <v>1204</v>
      </c>
      <c r="C498" s="8" t="s">
        <v>1205</v>
      </c>
      <c r="D498" t="s">
        <v>250</v>
      </c>
      <c r="E498" t="s">
        <v>251</v>
      </c>
      <c r="F498" t="str">
        <f>"15.0803"</f>
        <v>15.0803</v>
      </c>
      <c r="G498" s="8" t="s">
        <v>1205</v>
      </c>
    </row>
    <row r="499" spans="1:7" ht="29" x14ac:dyDescent="0.35">
      <c r="A499" t="str">
        <f>"15.0805"</f>
        <v>15.0805</v>
      </c>
      <c r="B499" t="s">
        <v>1206</v>
      </c>
      <c r="C499" s="8" t="s">
        <v>1207</v>
      </c>
      <c r="D499" t="s">
        <v>250</v>
      </c>
      <c r="E499" t="s">
        <v>264</v>
      </c>
      <c r="F499" t="str">
        <f>"15.0805"</f>
        <v>15.0805</v>
      </c>
      <c r="G499" s="8" t="s">
        <v>1208</v>
      </c>
    </row>
    <row r="500" spans="1:7" x14ac:dyDescent="0.35">
      <c r="D500" t="s">
        <v>275</v>
      </c>
      <c r="E500" t="s">
        <v>251</v>
      </c>
      <c r="F500" t="str">
        <f>"15.0806"</f>
        <v>15.0806</v>
      </c>
      <c r="G500" s="8" t="s">
        <v>1209</v>
      </c>
    </row>
    <row r="501" spans="1:7" x14ac:dyDescent="0.35">
      <c r="D501" t="s">
        <v>275</v>
      </c>
      <c r="E501" t="s">
        <v>251</v>
      </c>
      <c r="F501" t="str">
        <f>"15.0807"</f>
        <v>15.0807</v>
      </c>
      <c r="G501" s="8" t="s">
        <v>1210</v>
      </c>
    </row>
    <row r="502" spans="1:7" ht="29" x14ac:dyDescent="0.35">
      <c r="A502" t="str">
        <f>"15.0899"</f>
        <v>15.0899</v>
      </c>
      <c r="B502" t="s">
        <v>1211</v>
      </c>
      <c r="C502" s="8" t="s">
        <v>1212</v>
      </c>
      <c r="D502" t="s">
        <v>250</v>
      </c>
      <c r="E502" t="s">
        <v>251</v>
      </c>
      <c r="F502" t="str">
        <f>"15.0899"</f>
        <v>15.0899</v>
      </c>
      <c r="G502" s="8" t="s">
        <v>1212</v>
      </c>
    </row>
    <row r="503" spans="1:7" x14ac:dyDescent="0.35">
      <c r="A503" t="str">
        <f>"15.0901"</f>
        <v>15.0901</v>
      </c>
      <c r="B503" t="s">
        <v>1213</v>
      </c>
      <c r="C503" s="8" t="s">
        <v>1214</v>
      </c>
      <c r="D503" t="s">
        <v>250</v>
      </c>
      <c r="E503" t="s">
        <v>251</v>
      </c>
      <c r="F503" t="str">
        <f>"15.0901"</f>
        <v>15.0901</v>
      </c>
      <c r="G503" s="8" t="s">
        <v>1214</v>
      </c>
    </row>
    <row r="504" spans="1:7" x14ac:dyDescent="0.35">
      <c r="A504" t="str">
        <f>"15.0903"</f>
        <v>15.0903</v>
      </c>
      <c r="B504" t="s">
        <v>1215</v>
      </c>
      <c r="C504" s="8" t="s">
        <v>1216</v>
      </c>
      <c r="D504" t="s">
        <v>250</v>
      </c>
      <c r="E504" t="s">
        <v>251</v>
      </c>
      <c r="F504" t="str">
        <f>"15.0903"</f>
        <v>15.0903</v>
      </c>
      <c r="G504" s="8" t="s">
        <v>1216</v>
      </c>
    </row>
    <row r="505" spans="1:7" ht="29" x14ac:dyDescent="0.35">
      <c r="A505" t="str">
        <f>"15.0999"</f>
        <v>15.0999</v>
      </c>
      <c r="B505" t="s">
        <v>1217</v>
      </c>
      <c r="C505" s="8" t="s">
        <v>1218</v>
      </c>
      <c r="D505" t="s">
        <v>250</v>
      </c>
      <c r="E505" t="s">
        <v>251</v>
      </c>
      <c r="F505" t="str">
        <f>"15.0999"</f>
        <v>15.0999</v>
      </c>
      <c r="G505" s="8" t="s">
        <v>1218</v>
      </c>
    </row>
    <row r="506" spans="1:7" ht="29" x14ac:dyDescent="0.35">
      <c r="A506" t="str">
        <f>"15.1001"</f>
        <v>15.1001</v>
      </c>
      <c r="B506" t="s">
        <v>1219</v>
      </c>
      <c r="C506" s="8" t="s">
        <v>1220</v>
      </c>
      <c r="D506" t="s">
        <v>250</v>
      </c>
      <c r="E506" t="s">
        <v>251</v>
      </c>
      <c r="F506" t="str">
        <f>"15.1001"</f>
        <v>15.1001</v>
      </c>
      <c r="G506" s="8" t="s">
        <v>1220</v>
      </c>
    </row>
    <row r="507" spans="1:7" x14ac:dyDescent="0.35">
      <c r="A507" t="str">
        <f>"15.1102"</f>
        <v>15.1102</v>
      </c>
      <c r="B507" t="s">
        <v>1221</v>
      </c>
      <c r="C507" s="8" t="s">
        <v>1222</v>
      </c>
      <c r="D507" t="s">
        <v>250</v>
      </c>
      <c r="E507" t="s">
        <v>251</v>
      </c>
      <c r="F507" t="str">
        <f>"15.1102"</f>
        <v>15.1102</v>
      </c>
      <c r="G507" s="8" t="s">
        <v>1222</v>
      </c>
    </row>
    <row r="508" spans="1:7" ht="29" x14ac:dyDescent="0.35">
      <c r="A508" t="str">
        <f>"15.1103"</f>
        <v>15.1103</v>
      </c>
      <c r="B508" t="s">
        <v>1223</v>
      </c>
      <c r="C508" s="8" t="s">
        <v>1224</v>
      </c>
      <c r="D508" t="s">
        <v>250</v>
      </c>
      <c r="E508" t="s">
        <v>251</v>
      </c>
      <c r="F508" t="str">
        <f>"15.1103"</f>
        <v>15.1103</v>
      </c>
      <c r="G508" s="8" t="s">
        <v>1224</v>
      </c>
    </row>
    <row r="509" spans="1:7" ht="29" x14ac:dyDescent="0.35">
      <c r="A509" t="str">
        <f>"15.1199"</f>
        <v>15.1199</v>
      </c>
      <c r="B509" t="s">
        <v>1225</v>
      </c>
      <c r="C509" s="8" t="s">
        <v>1226</v>
      </c>
      <c r="D509" t="s">
        <v>250</v>
      </c>
      <c r="E509" t="s">
        <v>264</v>
      </c>
      <c r="F509" t="str">
        <f>"15.1199"</f>
        <v>15.1199</v>
      </c>
      <c r="G509" s="8" t="s">
        <v>1227</v>
      </c>
    </row>
    <row r="510" spans="1:7" ht="29" x14ac:dyDescent="0.35">
      <c r="A510" t="str">
        <f>"15.1201"</f>
        <v>15.1201</v>
      </c>
      <c r="B510" t="s">
        <v>1228</v>
      </c>
      <c r="C510" s="8" t="s">
        <v>1229</v>
      </c>
      <c r="D510" t="s">
        <v>250</v>
      </c>
      <c r="E510" t="s">
        <v>251</v>
      </c>
      <c r="F510" t="str">
        <f>"15.1201"</f>
        <v>15.1201</v>
      </c>
      <c r="G510" s="8" t="s">
        <v>1229</v>
      </c>
    </row>
    <row r="511" spans="1:7" ht="29" x14ac:dyDescent="0.35">
      <c r="A511" t="str">
        <f>"15.1202"</f>
        <v>15.1202</v>
      </c>
      <c r="B511" t="s">
        <v>1230</v>
      </c>
      <c r="C511" s="8" t="s">
        <v>1231</v>
      </c>
      <c r="D511" t="s">
        <v>250</v>
      </c>
      <c r="E511" t="s">
        <v>264</v>
      </c>
      <c r="F511" t="str">
        <f>"15.1202"</f>
        <v>15.1202</v>
      </c>
      <c r="G511" s="8" t="s">
        <v>1232</v>
      </c>
    </row>
    <row r="512" spans="1:7" ht="29" x14ac:dyDescent="0.35">
      <c r="A512" t="str">
        <f>"15.1203"</f>
        <v>15.1203</v>
      </c>
      <c r="B512" t="s">
        <v>1233</v>
      </c>
      <c r="C512" s="8" t="s">
        <v>1234</v>
      </c>
      <c r="D512" t="s">
        <v>250</v>
      </c>
      <c r="E512" t="s">
        <v>251</v>
      </c>
      <c r="F512" t="str">
        <f>"15.1203"</f>
        <v>15.1203</v>
      </c>
      <c r="G512" s="8" t="s">
        <v>1234</v>
      </c>
    </row>
    <row r="513" spans="1:7" ht="29" x14ac:dyDescent="0.35">
      <c r="A513" t="str">
        <f>"15.1204"</f>
        <v>15.1204</v>
      </c>
      <c r="B513" t="s">
        <v>1235</v>
      </c>
      <c r="C513" s="8" t="s">
        <v>1236</v>
      </c>
      <c r="D513" t="s">
        <v>250</v>
      </c>
      <c r="E513" t="s">
        <v>251</v>
      </c>
      <c r="F513" t="str">
        <f>"15.1204"</f>
        <v>15.1204</v>
      </c>
      <c r="G513" s="8" t="s">
        <v>1236</v>
      </c>
    </row>
    <row r="514" spans="1:7" ht="29" x14ac:dyDescent="0.35">
      <c r="A514" t="str">
        <f>"15.1299"</f>
        <v>15.1299</v>
      </c>
      <c r="B514" t="s">
        <v>1237</v>
      </c>
      <c r="C514" s="8" t="s">
        <v>1238</v>
      </c>
      <c r="D514" t="s">
        <v>250</v>
      </c>
      <c r="E514" t="s">
        <v>251</v>
      </c>
      <c r="F514" t="str">
        <f>"15.1299"</f>
        <v>15.1299</v>
      </c>
      <c r="G514" s="8" t="s">
        <v>1238</v>
      </c>
    </row>
    <row r="515" spans="1:7" ht="29" x14ac:dyDescent="0.35">
      <c r="A515" t="str">
        <f>"15.1301"</f>
        <v>15.1301</v>
      </c>
      <c r="B515" t="s">
        <v>1239</v>
      </c>
      <c r="C515" s="8" t="s">
        <v>1240</v>
      </c>
      <c r="D515" t="s">
        <v>250</v>
      </c>
      <c r="E515" t="s">
        <v>251</v>
      </c>
      <c r="F515" t="str">
        <f>"15.1301"</f>
        <v>15.1301</v>
      </c>
      <c r="G515" s="8" t="s">
        <v>1240</v>
      </c>
    </row>
    <row r="516" spans="1:7" ht="29" x14ac:dyDescent="0.35">
      <c r="A516" t="str">
        <f>"15.1302"</f>
        <v>15.1302</v>
      </c>
      <c r="B516" t="s">
        <v>1241</v>
      </c>
      <c r="C516" s="8" t="s">
        <v>1242</v>
      </c>
      <c r="D516" t="s">
        <v>250</v>
      </c>
      <c r="E516" t="s">
        <v>251</v>
      </c>
      <c r="F516" t="str">
        <f>"15.1302"</f>
        <v>15.1302</v>
      </c>
      <c r="G516" s="8" t="s">
        <v>1242</v>
      </c>
    </row>
    <row r="517" spans="1:7" ht="29" x14ac:dyDescent="0.35">
      <c r="A517" t="str">
        <f>"15.1303"</f>
        <v>15.1303</v>
      </c>
      <c r="B517" t="s">
        <v>1243</v>
      </c>
      <c r="C517" s="8" t="s">
        <v>1244</v>
      </c>
      <c r="D517" t="s">
        <v>250</v>
      </c>
      <c r="E517" t="s">
        <v>251</v>
      </c>
      <c r="F517" t="str">
        <f>"15.1303"</f>
        <v>15.1303</v>
      </c>
      <c r="G517" s="8" t="s">
        <v>1244</v>
      </c>
    </row>
    <row r="518" spans="1:7" ht="29" x14ac:dyDescent="0.35">
      <c r="A518" t="str">
        <f>"15.1304"</f>
        <v>15.1304</v>
      </c>
      <c r="B518" t="s">
        <v>1245</v>
      </c>
      <c r="C518" s="8" t="s">
        <v>1246</v>
      </c>
      <c r="D518" t="s">
        <v>250</v>
      </c>
      <c r="E518" t="s">
        <v>251</v>
      </c>
      <c r="F518" t="str">
        <f>"15.1304"</f>
        <v>15.1304</v>
      </c>
      <c r="G518" s="8" t="s">
        <v>1246</v>
      </c>
    </row>
    <row r="519" spans="1:7" ht="29" x14ac:dyDescent="0.35">
      <c r="A519" t="str">
        <f>"15.1305"</f>
        <v>15.1305</v>
      </c>
      <c r="B519" t="s">
        <v>1247</v>
      </c>
      <c r="C519" s="8" t="s">
        <v>1248</v>
      </c>
      <c r="D519" t="s">
        <v>250</v>
      </c>
      <c r="E519" t="s">
        <v>251</v>
      </c>
      <c r="F519" t="str">
        <f>"15.1305"</f>
        <v>15.1305</v>
      </c>
      <c r="G519" s="8" t="s">
        <v>1248</v>
      </c>
    </row>
    <row r="520" spans="1:7" ht="29" x14ac:dyDescent="0.35">
      <c r="A520" t="str">
        <f>"15.1306"</f>
        <v>15.1306</v>
      </c>
      <c r="B520" t="s">
        <v>1249</v>
      </c>
      <c r="C520" s="8" t="s">
        <v>1250</v>
      </c>
      <c r="D520" t="s">
        <v>250</v>
      </c>
      <c r="E520" t="s">
        <v>251</v>
      </c>
      <c r="F520" t="str">
        <f>"15.1306"</f>
        <v>15.1306</v>
      </c>
      <c r="G520" s="8" t="s">
        <v>1250</v>
      </c>
    </row>
    <row r="521" spans="1:7" x14ac:dyDescent="0.35">
      <c r="D521" t="s">
        <v>275</v>
      </c>
      <c r="E521" t="s">
        <v>251</v>
      </c>
      <c r="F521" t="str">
        <f>"15.1307"</f>
        <v>15.1307</v>
      </c>
      <c r="G521" s="8" t="s">
        <v>1251</v>
      </c>
    </row>
    <row r="522" spans="1:7" ht="29" x14ac:dyDescent="0.35">
      <c r="A522" t="str">
        <f>"15.1399"</f>
        <v>15.1399</v>
      </c>
      <c r="B522" t="s">
        <v>1252</v>
      </c>
      <c r="C522" s="8" t="s">
        <v>1253</v>
      </c>
      <c r="D522" t="s">
        <v>250</v>
      </c>
      <c r="E522" t="s">
        <v>251</v>
      </c>
      <c r="F522" t="str">
        <f>"15.1399"</f>
        <v>15.1399</v>
      </c>
      <c r="G522" s="8" t="s">
        <v>1253</v>
      </c>
    </row>
    <row r="523" spans="1:7" ht="29" x14ac:dyDescent="0.35">
      <c r="A523" t="str">
        <f>"15.1401"</f>
        <v>15.1401</v>
      </c>
      <c r="B523" t="s">
        <v>1254</v>
      </c>
      <c r="C523" s="8" t="s">
        <v>1255</v>
      </c>
      <c r="D523" t="s">
        <v>250</v>
      </c>
      <c r="E523" t="s">
        <v>251</v>
      </c>
      <c r="F523" t="str">
        <f>"15.1401"</f>
        <v>15.1401</v>
      </c>
      <c r="G523" s="8" t="s">
        <v>1255</v>
      </c>
    </row>
    <row r="524" spans="1:7" x14ac:dyDescent="0.35">
      <c r="A524" t="str">
        <f>"15.1501"</f>
        <v>15.1501</v>
      </c>
      <c r="B524" t="s">
        <v>1256</v>
      </c>
      <c r="C524" s="8" t="s">
        <v>1257</v>
      </c>
      <c r="D524" t="s">
        <v>250</v>
      </c>
      <c r="E524" t="s">
        <v>251</v>
      </c>
      <c r="F524" t="str">
        <f>"15.1501"</f>
        <v>15.1501</v>
      </c>
      <c r="G524" s="8" t="s">
        <v>1257</v>
      </c>
    </row>
    <row r="525" spans="1:7" x14ac:dyDescent="0.35">
      <c r="A525" t="str">
        <f>"15.1502"</f>
        <v>15.1502</v>
      </c>
      <c r="B525" t="s">
        <v>1258</v>
      </c>
      <c r="C525" s="8" t="s">
        <v>1259</v>
      </c>
      <c r="D525" t="s">
        <v>250</v>
      </c>
      <c r="E525" t="s">
        <v>251</v>
      </c>
      <c r="F525" t="str">
        <f>"15.1502"</f>
        <v>15.1502</v>
      </c>
      <c r="G525" s="8" t="s">
        <v>1259</v>
      </c>
    </row>
    <row r="526" spans="1:7" x14ac:dyDescent="0.35">
      <c r="A526" t="str">
        <f>"15.1503"</f>
        <v>15.1503</v>
      </c>
      <c r="B526" t="s">
        <v>1260</v>
      </c>
      <c r="C526" s="8" t="s">
        <v>1261</v>
      </c>
      <c r="D526" t="s">
        <v>250</v>
      </c>
      <c r="E526" t="s">
        <v>251</v>
      </c>
      <c r="F526" t="str">
        <f>"15.1503"</f>
        <v>15.1503</v>
      </c>
      <c r="G526" s="8" t="s">
        <v>1261</v>
      </c>
    </row>
    <row r="527" spans="1:7" x14ac:dyDescent="0.35">
      <c r="A527" t="str">
        <f>"15.1599"</f>
        <v>15.1599</v>
      </c>
      <c r="B527" t="s">
        <v>1262</v>
      </c>
      <c r="C527" s="8" t="s">
        <v>1263</v>
      </c>
      <c r="D527" t="s">
        <v>250</v>
      </c>
      <c r="E527" t="s">
        <v>251</v>
      </c>
      <c r="F527" t="str">
        <f>"15.1599"</f>
        <v>15.1599</v>
      </c>
      <c r="G527" s="8" t="s">
        <v>1263</v>
      </c>
    </row>
    <row r="528" spans="1:7" x14ac:dyDescent="0.35">
      <c r="A528" t="str">
        <f>"15.1601"</f>
        <v>15.1601</v>
      </c>
      <c r="B528" t="s">
        <v>1264</v>
      </c>
      <c r="C528" s="8" t="s">
        <v>1265</v>
      </c>
      <c r="D528" t="s">
        <v>250</v>
      </c>
      <c r="E528" t="s">
        <v>251</v>
      </c>
      <c r="F528" t="str">
        <f>"15.1601"</f>
        <v>15.1601</v>
      </c>
      <c r="G528" s="8" t="s">
        <v>1265</v>
      </c>
    </row>
    <row r="529" spans="1:7" x14ac:dyDescent="0.35">
      <c r="D529" t="s">
        <v>275</v>
      </c>
      <c r="E529" t="s">
        <v>251</v>
      </c>
      <c r="F529" t="str">
        <f>"15.1702"</f>
        <v>15.1702</v>
      </c>
      <c r="G529" s="8" t="s">
        <v>1266</v>
      </c>
    </row>
    <row r="530" spans="1:7" x14ac:dyDescent="0.35">
      <c r="D530" t="s">
        <v>275</v>
      </c>
      <c r="E530" t="s">
        <v>251</v>
      </c>
      <c r="F530" t="str">
        <f>"15.1704"</f>
        <v>15.1704</v>
      </c>
      <c r="G530" s="8" t="s">
        <v>1267</v>
      </c>
    </row>
    <row r="531" spans="1:7" x14ac:dyDescent="0.35">
      <c r="D531" t="s">
        <v>275</v>
      </c>
      <c r="E531" t="s">
        <v>251</v>
      </c>
      <c r="F531" t="str">
        <f>"15.1705"</f>
        <v>15.1705</v>
      </c>
      <c r="G531" s="8" t="s">
        <v>1268</v>
      </c>
    </row>
    <row r="532" spans="1:7" x14ac:dyDescent="0.35">
      <c r="D532" t="s">
        <v>275</v>
      </c>
      <c r="E532" t="s">
        <v>251</v>
      </c>
      <c r="F532" t="str">
        <f>"15.1706"</f>
        <v>15.1706</v>
      </c>
      <c r="G532" s="8" t="s">
        <v>1269</v>
      </c>
    </row>
    <row r="533" spans="1:7" x14ac:dyDescent="0.35">
      <c r="D533" t="s">
        <v>275</v>
      </c>
      <c r="E533" t="s">
        <v>251</v>
      </c>
      <c r="F533" t="str">
        <f>"15.1799"</f>
        <v>15.1799</v>
      </c>
      <c r="G533" s="8" t="s">
        <v>1270</v>
      </c>
    </row>
    <row r="534" spans="1:7" ht="29" x14ac:dyDescent="0.35">
      <c r="A534" t="str">
        <f>"15.9999"</f>
        <v>15.9999</v>
      </c>
      <c r="B534" t="s">
        <v>1271</v>
      </c>
      <c r="C534" s="8" t="s">
        <v>1272</v>
      </c>
      <c r="D534" t="s">
        <v>250</v>
      </c>
      <c r="E534" t="s">
        <v>264</v>
      </c>
      <c r="F534" t="str">
        <f>"15.9999"</f>
        <v>15.9999</v>
      </c>
      <c r="G534" s="8" t="s">
        <v>1273</v>
      </c>
    </row>
    <row r="535" spans="1:7" ht="29" x14ac:dyDescent="0.35">
      <c r="A535" t="str">
        <f>"16.0101"</f>
        <v>16.0101</v>
      </c>
      <c r="B535" t="s">
        <v>1274</v>
      </c>
      <c r="C535" s="8" t="s">
        <v>1275</v>
      </c>
      <c r="D535" t="s">
        <v>250</v>
      </c>
      <c r="E535" t="s">
        <v>251</v>
      </c>
      <c r="F535" t="str">
        <f>"16.0101"</f>
        <v>16.0101</v>
      </c>
      <c r="G535" s="8" t="s">
        <v>1275</v>
      </c>
    </row>
    <row r="536" spans="1:7" x14ac:dyDescent="0.35">
      <c r="A536" t="str">
        <f>"16.0102"</f>
        <v>16.0102</v>
      </c>
      <c r="B536" t="s">
        <v>1276</v>
      </c>
      <c r="C536" s="8" t="s">
        <v>1277</v>
      </c>
      <c r="D536" t="s">
        <v>250</v>
      </c>
      <c r="E536" t="s">
        <v>251</v>
      </c>
      <c r="F536" t="str">
        <f>"16.0102"</f>
        <v>16.0102</v>
      </c>
      <c r="G536" s="8" t="s">
        <v>1277</v>
      </c>
    </row>
    <row r="537" spans="1:7" x14ac:dyDescent="0.35">
      <c r="A537" t="str">
        <f>"16.0103"</f>
        <v>16.0103</v>
      </c>
      <c r="B537" t="s">
        <v>1278</v>
      </c>
      <c r="C537" s="8" t="s">
        <v>1279</v>
      </c>
      <c r="D537" t="s">
        <v>250</v>
      </c>
      <c r="E537" t="s">
        <v>251</v>
      </c>
      <c r="F537" t="str">
        <f>"16.0103"</f>
        <v>16.0103</v>
      </c>
      <c r="G537" s="8" t="s">
        <v>1279</v>
      </c>
    </row>
    <row r="538" spans="1:7" x14ac:dyDescent="0.35">
      <c r="A538" t="str">
        <f>"16.0104"</f>
        <v>16.0104</v>
      </c>
      <c r="B538" t="s">
        <v>1280</v>
      </c>
      <c r="C538" s="8" t="s">
        <v>1281</v>
      </c>
      <c r="D538" t="s">
        <v>250</v>
      </c>
      <c r="E538" t="s">
        <v>251</v>
      </c>
      <c r="F538" t="str">
        <f>"16.0104"</f>
        <v>16.0104</v>
      </c>
      <c r="G538" s="8" t="s">
        <v>1281</v>
      </c>
    </row>
    <row r="539" spans="1:7" x14ac:dyDescent="0.35">
      <c r="A539" t="str">
        <f>"16.0105"</f>
        <v>16.0105</v>
      </c>
      <c r="B539" t="s">
        <v>1282</v>
      </c>
      <c r="C539" s="8" t="s">
        <v>1283</v>
      </c>
      <c r="D539" t="s">
        <v>250</v>
      </c>
      <c r="E539" t="s">
        <v>251</v>
      </c>
      <c r="F539" t="str">
        <f>"16.0105"</f>
        <v>16.0105</v>
      </c>
      <c r="G539" s="8" t="s">
        <v>1283</v>
      </c>
    </row>
    <row r="540" spans="1:7" ht="29" x14ac:dyDescent="0.35">
      <c r="A540" t="str">
        <f>"16.0199"</f>
        <v>16.0199</v>
      </c>
      <c r="B540" t="s">
        <v>1284</v>
      </c>
      <c r="C540" s="8" t="s">
        <v>1285</v>
      </c>
      <c r="D540" t="s">
        <v>250</v>
      </c>
      <c r="E540" t="s">
        <v>251</v>
      </c>
      <c r="F540" t="str">
        <f>"16.0199"</f>
        <v>16.0199</v>
      </c>
      <c r="G540" s="8" t="s">
        <v>1285</v>
      </c>
    </row>
    <row r="541" spans="1:7" ht="29" x14ac:dyDescent="0.35">
      <c r="A541" t="str">
        <f>"16.0201"</f>
        <v>16.0201</v>
      </c>
      <c r="B541" t="s">
        <v>1286</v>
      </c>
      <c r="C541" s="8" t="s">
        <v>1287</v>
      </c>
      <c r="D541" t="s">
        <v>250</v>
      </c>
      <c r="E541" t="s">
        <v>251</v>
      </c>
      <c r="F541" t="str">
        <f>"16.0201"</f>
        <v>16.0201</v>
      </c>
      <c r="G541" s="8" t="s">
        <v>1287</v>
      </c>
    </row>
    <row r="542" spans="1:7" ht="29" x14ac:dyDescent="0.35">
      <c r="A542" t="str">
        <f>"16.0300"</f>
        <v>16.0300</v>
      </c>
      <c r="B542" t="s">
        <v>1288</v>
      </c>
      <c r="C542" s="8" t="s">
        <v>1289</v>
      </c>
      <c r="D542" t="s">
        <v>250</v>
      </c>
      <c r="E542" t="s">
        <v>251</v>
      </c>
      <c r="F542" t="str">
        <f>"16.0300"</f>
        <v>16.0300</v>
      </c>
      <c r="G542" s="8" t="s">
        <v>1289</v>
      </c>
    </row>
    <row r="543" spans="1:7" x14ac:dyDescent="0.35">
      <c r="A543" t="str">
        <f>"16.0301"</f>
        <v>16.0301</v>
      </c>
      <c r="B543" t="s">
        <v>1290</v>
      </c>
      <c r="C543" s="8" t="s">
        <v>1291</v>
      </c>
      <c r="D543" t="s">
        <v>250</v>
      </c>
      <c r="E543" t="s">
        <v>251</v>
      </c>
      <c r="F543" t="str">
        <f>"16.0301"</f>
        <v>16.0301</v>
      </c>
      <c r="G543" s="8" t="s">
        <v>1291</v>
      </c>
    </row>
    <row r="544" spans="1:7" x14ac:dyDescent="0.35">
      <c r="A544" t="str">
        <f>"16.0302"</f>
        <v>16.0302</v>
      </c>
      <c r="B544" t="s">
        <v>1292</v>
      </c>
      <c r="C544" s="8" t="s">
        <v>1293</v>
      </c>
      <c r="D544" t="s">
        <v>250</v>
      </c>
      <c r="E544" t="s">
        <v>251</v>
      </c>
      <c r="F544" t="str">
        <f>"16.0302"</f>
        <v>16.0302</v>
      </c>
      <c r="G544" s="8" t="s">
        <v>1293</v>
      </c>
    </row>
    <row r="545" spans="1:7" x14ac:dyDescent="0.35">
      <c r="A545" t="str">
        <f>"16.0303"</f>
        <v>16.0303</v>
      </c>
      <c r="B545" t="s">
        <v>1294</v>
      </c>
      <c r="C545" s="8" t="s">
        <v>1295</v>
      </c>
      <c r="D545" t="s">
        <v>250</v>
      </c>
      <c r="E545" t="s">
        <v>251</v>
      </c>
      <c r="F545" t="str">
        <f>"16.0303"</f>
        <v>16.0303</v>
      </c>
      <c r="G545" s="8" t="s">
        <v>1295</v>
      </c>
    </row>
    <row r="546" spans="1:7" x14ac:dyDescent="0.35">
      <c r="A546" t="str">
        <f>"16.0304"</f>
        <v>16.0304</v>
      </c>
      <c r="B546" t="s">
        <v>1296</v>
      </c>
      <c r="C546" s="8" t="s">
        <v>1297</v>
      </c>
      <c r="D546" t="s">
        <v>250</v>
      </c>
      <c r="E546" t="s">
        <v>251</v>
      </c>
      <c r="F546" t="str">
        <f>"16.0304"</f>
        <v>16.0304</v>
      </c>
      <c r="G546" s="8" t="s">
        <v>1297</v>
      </c>
    </row>
    <row r="547" spans="1:7" ht="29" x14ac:dyDescent="0.35">
      <c r="A547" t="str">
        <f>"16.0399"</f>
        <v>16.0399</v>
      </c>
      <c r="B547" t="s">
        <v>1298</v>
      </c>
      <c r="C547" s="8" t="s">
        <v>1299</v>
      </c>
      <c r="D547" t="s">
        <v>250</v>
      </c>
      <c r="E547" t="s">
        <v>251</v>
      </c>
      <c r="F547" t="str">
        <f>"16.0399"</f>
        <v>16.0399</v>
      </c>
      <c r="G547" s="8" t="s">
        <v>1299</v>
      </c>
    </row>
    <row r="548" spans="1:7" ht="29" x14ac:dyDescent="0.35">
      <c r="A548" t="str">
        <f>"16.0400"</f>
        <v>16.0400</v>
      </c>
      <c r="B548" t="s">
        <v>1300</v>
      </c>
      <c r="C548" s="8" t="s">
        <v>1301</v>
      </c>
      <c r="D548" t="s">
        <v>250</v>
      </c>
      <c r="E548" t="s">
        <v>251</v>
      </c>
      <c r="F548" t="str">
        <f>"16.0400"</f>
        <v>16.0400</v>
      </c>
      <c r="G548" s="8" t="s">
        <v>1301</v>
      </c>
    </row>
    <row r="549" spans="1:7" ht="29" x14ac:dyDescent="0.35">
      <c r="A549" t="str">
        <f>"16.0401"</f>
        <v>16.0401</v>
      </c>
      <c r="B549" t="s">
        <v>1302</v>
      </c>
      <c r="C549" s="8" t="s">
        <v>1303</v>
      </c>
      <c r="D549" t="s">
        <v>250</v>
      </c>
      <c r="E549" t="s">
        <v>251</v>
      </c>
      <c r="F549" t="str">
        <f>"16.0401"</f>
        <v>16.0401</v>
      </c>
      <c r="G549" s="8" t="s">
        <v>1303</v>
      </c>
    </row>
    <row r="550" spans="1:7" x14ac:dyDescent="0.35">
      <c r="A550" t="str">
        <f>"16.0402"</f>
        <v>16.0402</v>
      </c>
      <c r="B550" t="s">
        <v>1304</v>
      </c>
      <c r="C550" s="8" t="s">
        <v>1305</v>
      </c>
      <c r="D550" t="s">
        <v>250</v>
      </c>
      <c r="E550" t="s">
        <v>251</v>
      </c>
      <c r="F550" t="str">
        <f>"16.0402"</f>
        <v>16.0402</v>
      </c>
      <c r="G550" s="8" t="s">
        <v>1305</v>
      </c>
    </row>
    <row r="551" spans="1:7" x14ac:dyDescent="0.35">
      <c r="A551" t="str">
        <f>"16.0404"</f>
        <v>16.0404</v>
      </c>
      <c r="B551" t="s">
        <v>1306</v>
      </c>
      <c r="C551" s="8" t="s">
        <v>1307</v>
      </c>
      <c r="D551" t="s">
        <v>250</v>
      </c>
      <c r="E551" t="s">
        <v>251</v>
      </c>
      <c r="F551" t="str">
        <f>"16.0404"</f>
        <v>16.0404</v>
      </c>
      <c r="G551" s="8" t="s">
        <v>1307</v>
      </c>
    </row>
    <row r="552" spans="1:7" x14ac:dyDescent="0.35">
      <c r="A552" t="str">
        <f>"16.0405"</f>
        <v>16.0405</v>
      </c>
      <c r="B552" t="s">
        <v>1308</v>
      </c>
      <c r="C552" s="8" t="s">
        <v>1309</v>
      </c>
      <c r="D552" t="s">
        <v>250</v>
      </c>
      <c r="E552" t="s">
        <v>251</v>
      </c>
      <c r="F552" t="str">
        <f>"16.0405"</f>
        <v>16.0405</v>
      </c>
      <c r="G552" s="8" t="s">
        <v>1309</v>
      </c>
    </row>
    <row r="553" spans="1:7" x14ac:dyDescent="0.35">
      <c r="A553" t="str">
        <f>"16.0406"</f>
        <v>16.0406</v>
      </c>
      <c r="B553" t="s">
        <v>1310</v>
      </c>
      <c r="C553" s="8" t="s">
        <v>1311</v>
      </c>
      <c r="D553" t="s">
        <v>250</v>
      </c>
      <c r="E553" t="s">
        <v>251</v>
      </c>
      <c r="F553" t="str">
        <f>"16.0406"</f>
        <v>16.0406</v>
      </c>
      <c r="G553" s="8" t="s">
        <v>1311</v>
      </c>
    </row>
    <row r="554" spans="1:7" x14ac:dyDescent="0.35">
      <c r="A554" t="str">
        <f>"16.0407"</f>
        <v>16.0407</v>
      </c>
      <c r="B554" t="s">
        <v>1312</v>
      </c>
      <c r="C554" s="8" t="s">
        <v>1313</v>
      </c>
      <c r="D554" t="s">
        <v>250</v>
      </c>
      <c r="E554" t="s">
        <v>251</v>
      </c>
      <c r="F554" t="str">
        <f>"16.0407"</f>
        <v>16.0407</v>
      </c>
      <c r="G554" s="8" t="s">
        <v>1313</v>
      </c>
    </row>
    <row r="555" spans="1:7" ht="29" x14ac:dyDescent="0.35">
      <c r="A555" t="str">
        <f>"16.0408"</f>
        <v>16.0408</v>
      </c>
      <c r="B555" t="s">
        <v>1314</v>
      </c>
      <c r="C555" s="8" t="s">
        <v>1315</v>
      </c>
      <c r="D555" t="s">
        <v>250</v>
      </c>
      <c r="E555" t="s">
        <v>251</v>
      </c>
      <c r="F555" t="str">
        <f>"16.0408"</f>
        <v>16.0408</v>
      </c>
      <c r="G555" s="8" t="s">
        <v>1315</v>
      </c>
    </row>
    <row r="556" spans="1:7" x14ac:dyDescent="0.35">
      <c r="A556" t="str">
        <f>"16.0409"</f>
        <v>16.0409</v>
      </c>
      <c r="B556" t="s">
        <v>1316</v>
      </c>
      <c r="C556" s="8" t="s">
        <v>1317</v>
      </c>
      <c r="D556" t="s">
        <v>250</v>
      </c>
      <c r="E556" t="s">
        <v>251</v>
      </c>
      <c r="F556" t="str">
        <f>"16.0409"</f>
        <v>16.0409</v>
      </c>
      <c r="G556" s="8" t="s">
        <v>1317</v>
      </c>
    </row>
    <row r="557" spans="1:7" x14ac:dyDescent="0.35">
      <c r="A557" t="str">
        <f>"16.0410"</f>
        <v>16.0410</v>
      </c>
      <c r="B557" t="s">
        <v>1318</v>
      </c>
      <c r="C557" s="8" t="s">
        <v>1319</v>
      </c>
      <c r="D557" t="s">
        <v>250</v>
      </c>
      <c r="E557" t="s">
        <v>251</v>
      </c>
      <c r="F557" t="str">
        <f>"16.0410"</f>
        <v>16.0410</v>
      </c>
      <c r="G557" s="8" t="s">
        <v>1319</v>
      </c>
    </row>
    <row r="558" spans="1:7" ht="29" x14ac:dyDescent="0.35">
      <c r="A558" t="str">
        <f>"16.0499"</f>
        <v>16.0499</v>
      </c>
      <c r="B558" t="s">
        <v>1320</v>
      </c>
      <c r="C558" s="8" t="s">
        <v>1321</v>
      </c>
      <c r="D558" t="s">
        <v>250</v>
      </c>
      <c r="E558" t="s">
        <v>251</v>
      </c>
      <c r="F558" t="str">
        <f>"16.0499"</f>
        <v>16.0499</v>
      </c>
      <c r="G558" s="8" t="s">
        <v>1321</v>
      </c>
    </row>
    <row r="559" spans="1:7" ht="29" x14ac:dyDescent="0.35">
      <c r="A559" t="str">
        <f>"16.0500"</f>
        <v>16.0500</v>
      </c>
      <c r="B559" t="s">
        <v>1322</v>
      </c>
      <c r="C559" s="8" t="s">
        <v>1323</v>
      </c>
      <c r="D559" t="s">
        <v>250</v>
      </c>
      <c r="E559" t="s">
        <v>251</v>
      </c>
      <c r="F559" t="str">
        <f>"16.0500"</f>
        <v>16.0500</v>
      </c>
      <c r="G559" s="8" t="s">
        <v>1323</v>
      </c>
    </row>
    <row r="560" spans="1:7" x14ac:dyDescent="0.35">
      <c r="A560" t="str">
        <f>"16.0501"</f>
        <v>16.0501</v>
      </c>
      <c r="B560" t="s">
        <v>1324</v>
      </c>
      <c r="C560" s="8" t="s">
        <v>1325</v>
      </c>
      <c r="D560" t="s">
        <v>250</v>
      </c>
      <c r="E560" t="s">
        <v>251</v>
      </c>
      <c r="F560" t="str">
        <f>"16.0501"</f>
        <v>16.0501</v>
      </c>
      <c r="G560" s="8" t="s">
        <v>1325</v>
      </c>
    </row>
    <row r="561" spans="1:7" ht="29" x14ac:dyDescent="0.35">
      <c r="A561" t="str">
        <f>"16.0502"</f>
        <v>16.0502</v>
      </c>
      <c r="B561" t="s">
        <v>1326</v>
      </c>
      <c r="C561" s="8" t="s">
        <v>1327</v>
      </c>
      <c r="D561" t="s">
        <v>250</v>
      </c>
      <c r="E561" t="s">
        <v>251</v>
      </c>
      <c r="F561" t="str">
        <f>"16.0502"</f>
        <v>16.0502</v>
      </c>
      <c r="G561" s="8" t="s">
        <v>1327</v>
      </c>
    </row>
    <row r="562" spans="1:7" x14ac:dyDescent="0.35">
      <c r="A562" t="str">
        <f>"16.0503"</f>
        <v>16.0503</v>
      </c>
      <c r="B562" t="s">
        <v>1328</v>
      </c>
      <c r="C562" s="8" t="s">
        <v>1329</v>
      </c>
      <c r="D562" t="s">
        <v>250</v>
      </c>
      <c r="E562" t="s">
        <v>251</v>
      </c>
      <c r="F562" t="str">
        <f>"16.0503"</f>
        <v>16.0503</v>
      </c>
      <c r="G562" s="8" t="s">
        <v>1329</v>
      </c>
    </row>
    <row r="563" spans="1:7" x14ac:dyDescent="0.35">
      <c r="A563" t="str">
        <f>"16.0504"</f>
        <v>16.0504</v>
      </c>
      <c r="B563" t="s">
        <v>1330</v>
      </c>
      <c r="C563" s="8" t="s">
        <v>1331</v>
      </c>
      <c r="D563" t="s">
        <v>250</v>
      </c>
      <c r="E563" t="s">
        <v>251</v>
      </c>
      <c r="F563" t="str">
        <f>"16.0504"</f>
        <v>16.0504</v>
      </c>
      <c r="G563" s="8" t="s">
        <v>1331</v>
      </c>
    </row>
    <row r="564" spans="1:7" x14ac:dyDescent="0.35">
      <c r="A564" t="str">
        <f>"16.0505"</f>
        <v>16.0505</v>
      </c>
      <c r="B564" t="s">
        <v>1332</v>
      </c>
      <c r="C564" s="8" t="s">
        <v>1333</v>
      </c>
      <c r="D564" t="s">
        <v>250</v>
      </c>
      <c r="E564" t="s">
        <v>251</v>
      </c>
      <c r="F564" t="str">
        <f>"16.0505"</f>
        <v>16.0505</v>
      </c>
      <c r="G564" s="8" t="s">
        <v>1333</v>
      </c>
    </row>
    <row r="565" spans="1:7" x14ac:dyDescent="0.35">
      <c r="A565" t="str">
        <f>"16.0506"</f>
        <v>16.0506</v>
      </c>
      <c r="B565" t="s">
        <v>1334</v>
      </c>
      <c r="C565" s="8" t="s">
        <v>1335</v>
      </c>
      <c r="D565" t="s">
        <v>250</v>
      </c>
      <c r="E565" t="s">
        <v>251</v>
      </c>
      <c r="F565" t="str">
        <f>"16.0506"</f>
        <v>16.0506</v>
      </c>
      <c r="G565" s="8" t="s">
        <v>1335</v>
      </c>
    </row>
    <row r="566" spans="1:7" ht="29" x14ac:dyDescent="0.35">
      <c r="A566" t="str">
        <f>"16.0599"</f>
        <v>16.0599</v>
      </c>
      <c r="B566" t="s">
        <v>1336</v>
      </c>
      <c r="C566" s="8" t="s">
        <v>1337</v>
      </c>
      <c r="D566" t="s">
        <v>250</v>
      </c>
      <c r="E566" t="s">
        <v>251</v>
      </c>
      <c r="F566" t="str">
        <f>"16.0599"</f>
        <v>16.0599</v>
      </c>
      <c r="G566" s="8" t="s">
        <v>1337</v>
      </c>
    </row>
    <row r="567" spans="1:7" x14ac:dyDescent="0.35">
      <c r="A567" t="str">
        <f>"16.0601"</f>
        <v>16.0601</v>
      </c>
      <c r="B567" t="s">
        <v>1338</v>
      </c>
      <c r="C567" s="8" t="s">
        <v>1339</v>
      </c>
      <c r="D567" t="s">
        <v>250</v>
      </c>
      <c r="E567" t="s">
        <v>251</v>
      </c>
      <c r="F567" t="str">
        <f>"16.0601"</f>
        <v>16.0601</v>
      </c>
      <c r="G567" s="8" t="s">
        <v>1339</v>
      </c>
    </row>
    <row r="568" spans="1:7" ht="29" x14ac:dyDescent="0.35">
      <c r="A568" t="str">
        <f>"16.0700"</f>
        <v>16.0700</v>
      </c>
      <c r="B568" t="s">
        <v>1340</v>
      </c>
      <c r="C568" s="8" t="s">
        <v>1341</v>
      </c>
      <c r="D568" t="s">
        <v>250</v>
      </c>
      <c r="E568" t="s">
        <v>251</v>
      </c>
      <c r="F568" t="str">
        <f>"16.0700"</f>
        <v>16.0700</v>
      </c>
      <c r="G568" s="8" t="s">
        <v>1341</v>
      </c>
    </row>
    <row r="569" spans="1:7" x14ac:dyDescent="0.35">
      <c r="A569" t="str">
        <f>"16.0701"</f>
        <v>16.0701</v>
      </c>
      <c r="B569" t="s">
        <v>1342</v>
      </c>
      <c r="C569" s="8" t="s">
        <v>1343</v>
      </c>
      <c r="D569" t="s">
        <v>250</v>
      </c>
      <c r="E569" t="s">
        <v>251</v>
      </c>
      <c r="F569" t="str">
        <f>"16.0701"</f>
        <v>16.0701</v>
      </c>
      <c r="G569" s="8" t="s">
        <v>1343</v>
      </c>
    </row>
    <row r="570" spans="1:7" ht="29" x14ac:dyDescent="0.35">
      <c r="A570" t="str">
        <f>"16.0702"</f>
        <v>16.0702</v>
      </c>
      <c r="B570" t="s">
        <v>1344</v>
      </c>
      <c r="C570" s="8" t="s">
        <v>1345</v>
      </c>
      <c r="D570" t="s">
        <v>250</v>
      </c>
      <c r="E570" t="s">
        <v>251</v>
      </c>
      <c r="F570" t="str">
        <f>"16.0702"</f>
        <v>16.0702</v>
      </c>
      <c r="G570" s="8" t="s">
        <v>1345</v>
      </c>
    </row>
    <row r="571" spans="1:7" x14ac:dyDescent="0.35">
      <c r="A571" t="str">
        <f>"16.0704"</f>
        <v>16.0704</v>
      </c>
      <c r="B571" t="s">
        <v>1346</v>
      </c>
      <c r="C571" s="8" t="s">
        <v>1347</v>
      </c>
      <c r="D571" t="s">
        <v>250</v>
      </c>
      <c r="E571" t="s">
        <v>251</v>
      </c>
      <c r="F571" t="str">
        <f>"16.0704"</f>
        <v>16.0704</v>
      </c>
      <c r="G571" s="8" t="s">
        <v>1347</v>
      </c>
    </row>
    <row r="572" spans="1:7" x14ac:dyDescent="0.35">
      <c r="A572" t="str">
        <f>"16.0705"</f>
        <v>16.0705</v>
      </c>
      <c r="B572" t="s">
        <v>1348</v>
      </c>
      <c r="C572" s="8" t="s">
        <v>1349</v>
      </c>
      <c r="D572" t="s">
        <v>250</v>
      </c>
      <c r="E572" t="s">
        <v>251</v>
      </c>
      <c r="F572" t="str">
        <f>"16.0705"</f>
        <v>16.0705</v>
      </c>
      <c r="G572" s="8" t="s">
        <v>1349</v>
      </c>
    </row>
    <row r="573" spans="1:7" x14ac:dyDescent="0.35">
      <c r="A573" t="str">
        <f>"16.0706"</f>
        <v>16.0706</v>
      </c>
      <c r="B573" t="s">
        <v>1350</v>
      </c>
      <c r="C573" s="8" t="s">
        <v>1351</v>
      </c>
      <c r="D573" t="s">
        <v>250</v>
      </c>
      <c r="E573" t="s">
        <v>251</v>
      </c>
      <c r="F573" t="str">
        <f>"16.0706"</f>
        <v>16.0706</v>
      </c>
      <c r="G573" s="8" t="s">
        <v>1351</v>
      </c>
    </row>
    <row r="574" spans="1:7" x14ac:dyDescent="0.35">
      <c r="A574" t="str">
        <f>"16.0707"</f>
        <v>16.0707</v>
      </c>
      <c r="B574" t="s">
        <v>1352</v>
      </c>
      <c r="C574" s="8" t="s">
        <v>1353</v>
      </c>
      <c r="D574" t="s">
        <v>250</v>
      </c>
      <c r="E574" t="s">
        <v>251</v>
      </c>
      <c r="F574" t="str">
        <f>"16.0707"</f>
        <v>16.0707</v>
      </c>
      <c r="G574" s="8" t="s">
        <v>1353</v>
      </c>
    </row>
    <row r="575" spans="1:7" ht="29" x14ac:dyDescent="0.35">
      <c r="A575" t="str">
        <f>"16.0799"</f>
        <v>16.0799</v>
      </c>
      <c r="B575" t="s">
        <v>1354</v>
      </c>
      <c r="C575" s="8" t="s">
        <v>1355</v>
      </c>
      <c r="D575" t="s">
        <v>250</v>
      </c>
      <c r="E575" t="s">
        <v>251</v>
      </c>
      <c r="F575" t="str">
        <f>"16.0799"</f>
        <v>16.0799</v>
      </c>
      <c r="G575" s="8" t="s">
        <v>1355</v>
      </c>
    </row>
    <row r="576" spans="1:7" ht="29" x14ac:dyDescent="0.35">
      <c r="A576" t="str">
        <f>"16.0801"</f>
        <v>16.0801</v>
      </c>
      <c r="B576" t="s">
        <v>1356</v>
      </c>
      <c r="C576" s="8" t="s">
        <v>1357</v>
      </c>
      <c r="D576" t="s">
        <v>250</v>
      </c>
      <c r="E576" t="s">
        <v>251</v>
      </c>
      <c r="F576" t="str">
        <f>"16.0801"</f>
        <v>16.0801</v>
      </c>
      <c r="G576" s="8" t="s">
        <v>1357</v>
      </c>
    </row>
    <row r="577" spans="1:7" ht="29" x14ac:dyDescent="0.35">
      <c r="A577" t="str">
        <f>"16.0900"</f>
        <v>16.0900</v>
      </c>
      <c r="B577" t="s">
        <v>1358</v>
      </c>
      <c r="C577" s="8" t="s">
        <v>1359</v>
      </c>
      <c r="D577" t="s">
        <v>250</v>
      </c>
      <c r="E577" t="s">
        <v>251</v>
      </c>
      <c r="F577" t="str">
        <f>"16.0900"</f>
        <v>16.0900</v>
      </c>
      <c r="G577" s="8" t="s">
        <v>1359</v>
      </c>
    </row>
    <row r="578" spans="1:7" x14ac:dyDescent="0.35">
      <c r="A578" t="str">
        <f>"16.0901"</f>
        <v>16.0901</v>
      </c>
      <c r="B578" t="s">
        <v>1360</v>
      </c>
      <c r="C578" s="8" t="s">
        <v>1361</v>
      </c>
      <c r="D578" t="s">
        <v>250</v>
      </c>
      <c r="E578" t="s">
        <v>251</v>
      </c>
      <c r="F578" t="str">
        <f>"16.0901"</f>
        <v>16.0901</v>
      </c>
      <c r="G578" s="8" t="s">
        <v>1361</v>
      </c>
    </row>
    <row r="579" spans="1:7" x14ac:dyDescent="0.35">
      <c r="A579" t="str">
        <f>"16.0902"</f>
        <v>16.0902</v>
      </c>
      <c r="B579" t="s">
        <v>1362</v>
      </c>
      <c r="C579" s="8" t="s">
        <v>1363</v>
      </c>
      <c r="D579" t="s">
        <v>250</v>
      </c>
      <c r="E579" t="s">
        <v>251</v>
      </c>
      <c r="F579" t="str">
        <f>"16.0902"</f>
        <v>16.0902</v>
      </c>
      <c r="G579" s="8" t="s">
        <v>1363</v>
      </c>
    </row>
    <row r="580" spans="1:7" x14ac:dyDescent="0.35">
      <c r="A580" t="str">
        <f>"16.0904"</f>
        <v>16.0904</v>
      </c>
      <c r="B580" t="s">
        <v>1364</v>
      </c>
      <c r="C580" s="8" t="s">
        <v>1365</v>
      </c>
      <c r="D580" t="s">
        <v>250</v>
      </c>
      <c r="E580" t="s">
        <v>251</v>
      </c>
      <c r="F580" t="str">
        <f>"16.0904"</f>
        <v>16.0904</v>
      </c>
      <c r="G580" s="8" t="s">
        <v>1365</v>
      </c>
    </row>
    <row r="581" spans="1:7" x14ac:dyDescent="0.35">
      <c r="A581" t="str">
        <f>"16.0905"</f>
        <v>16.0905</v>
      </c>
      <c r="B581" t="s">
        <v>1366</v>
      </c>
      <c r="C581" s="8" t="s">
        <v>1367</v>
      </c>
      <c r="D581" t="s">
        <v>250</v>
      </c>
      <c r="E581" t="s">
        <v>251</v>
      </c>
      <c r="F581" t="str">
        <f>"16.0905"</f>
        <v>16.0905</v>
      </c>
      <c r="G581" s="8" t="s">
        <v>1367</v>
      </c>
    </row>
    <row r="582" spans="1:7" x14ac:dyDescent="0.35">
      <c r="A582" t="str">
        <f>"16.0906"</f>
        <v>16.0906</v>
      </c>
      <c r="B582" t="s">
        <v>1368</v>
      </c>
      <c r="C582" s="8" t="s">
        <v>1369</v>
      </c>
      <c r="D582" t="s">
        <v>250</v>
      </c>
      <c r="E582" t="s">
        <v>251</v>
      </c>
      <c r="F582" t="str">
        <f>"16.0906"</f>
        <v>16.0906</v>
      </c>
      <c r="G582" s="8" t="s">
        <v>1369</v>
      </c>
    </row>
    <row r="583" spans="1:7" x14ac:dyDescent="0.35">
      <c r="A583" t="str">
        <f>"16.0907"</f>
        <v>16.0907</v>
      </c>
      <c r="B583" t="s">
        <v>1370</v>
      </c>
      <c r="C583" s="8" t="s">
        <v>1371</v>
      </c>
      <c r="D583" t="s">
        <v>250</v>
      </c>
      <c r="E583" t="s">
        <v>251</v>
      </c>
      <c r="F583" t="str">
        <f>"16.0907"</f>
        <v>16.0907</v>
      </c>
      <c r="G583" s="8" t="s">
        <v>1371</v>
      </c>
    </row>
    <row r="584" spans="1:7" ht="29" x14ac:dyDescent="0.35">
      <c r="A584" t="str">
        <f>"16.0908"</f>
        <v>16.0908</v>
      </c>
      <c r="B584" t="s">
        <v>1372</v>
      </c>
      <c r="C584" s="8" t="s">
        <v>1373</v>
      </c>
      <c r="D584" t="s">
        <v>250</v>
      </c>
      <c r="E584" t="s">
        <v>251</v>
      </c>
      <c r="F584" t="str">
        <f>"16.0908"</f>
        <v>16.0908</v>
      </c>
      <c r="G584" s="8" t="s">
        <v>1373</v>
      </c>
    </row>
    <row r="585" spans="1:7" ht="29" x14ac:dyDescent="0.35">
      <c r="A585" t="str">
        <f>"16.0999"</f>
        <v>16.0999</v>
      </c>
      <c r="B585" t="s">
        <v>1374</v>
      </c>
      <c r="C585" s="8" t="s">
        <v>1375</v>
      </c>
      <c r="D585" t="s">
        <v>250</v>
      </c>
      <c r="E585" t="s">
        <v>251</v>
      </c>
      <c r="F585" t="str">
        <f>"16.0999"</f>
        <v>16.0999</v>
      </c>
      <c r="G585" s="8" t="s">
        <v>1375</v>
      </c>
    </row>
    <row r="586" spans="1:7" ht="29" x14ac:dyDescent="0.35">
      <c r="A586" t="str">
        <f>"16.1001"</f>
        <v>16.1001</v>
      </c>
      <c r="B586" t="s">
        <v>1376</v>
      </c>
      <c r="C586" s="8" t="s">
        <v>1377</v>
      </c>
      <c r="D586" t="s">
        <v>250</v>
      </c>
      <c r="E586" t="s">
        <v>264</v>
      </c>
      <c r="F586" t="str">
        <f>"16.1001"</f>
        <v>16.1001</v>
      </c>
      <c r="G586" s="8" t="s">
        <v>1377</v>
      </c>
    </row>
    <row r="587" spans="1:7" ht="43.5" x14ac:dyDescent="0.35">
      <c r="A587" t="str">
        <f>"16.1100"</f>
        <v>16.1100</v>
      </c>
      <c r="B587" t="s">
        <v>1378</v>
      </c>
      <c r="C587" s="8" t="s">
        <v>1379</v>
      </c>
      <c r="D587" t="s">
        <v>250</v>
      </c>
      <c r="E587" t="s">
        <v>251</v>
      </c>
      <c r="F587" t="str">
        <f>"16.1100"</f>
        <v>16.1100</v>
      </c>
      <c r="G587" s="8" t="s">
        <v>1379</v>
      </c>
    </row>
    <row r="588" spans="1:7" x14ac:dyDescent="0.35">
      <c r="A588" t="str">
        <f>"16.1101"</f>
        <v>16.1101</v>
      </c>
      <c r="B588" t="s">
        <v>1380</v>
      </c>
      <c r="C588" s="8" t="s">
        <v>1381</v>
      </c>
      <c r="D588" t="s">
        <v>250</v>
      </c>
      <c r="E588" t="s">
        <v>251</v>
      </c>
      <c r="F588" t="str">
        <f>"16.1101"</f>
        <v>16.1101</v>
      </c>
      <c r="G588" s="8" t="s">
        <v>1381</v>
      </c>
    </row>
    <row r="589" spans="1:7" x14ac:dyDescent="0.35">
      <c r="A589" t="str">
        <f>"16.1102"</f>
        <v>16.1102</v>
      </c>
      <c r="B589" t="s">
        <v>1382</v>
      </c>
      <c r="C589" s="8" t="s">
        <v>1383</v>
      </c>
      <c r="D589" t="s">
        <v>250</v>
      </c>
      <c r="E589" t="s">
        <v>251</v>
      </c>
      <c r="F589" t="str">
        <f>"16.1102"</f>
        <v>16.1102</v>
      </c>
      <c r="G589" s="8" t="s">
        <v>1383</v>
      </c>
    </row>
    <row r="590" spans="1:7" ht="29" x14ac:dyDescent="0.35">
      <c r="A590" t="str">
        <f>"16.1103"</f>
        <v>16.1103</v>
      </c>
      <c r="B590" t="s">
        <v>1384</v>
      </c>
      <c r="C590" s="8" t="s">
        <v>1385</v>
      </c>
      <c r="D590" t="s">
        <v>250</v>
      </c>
      <c r="E590" t="s">
        <v>251</v>
      </c>
      <c r="F590" t="str">
        <f>"16.1103"</f>
        <v>16.1103</v>
      </c>
      <c r="G590" s="8" t="s">
        <v>1385</v>
      </c>
    </row>
    <row r="591" spans="1:7" ht="43.5" x14ac:dyDescent="0.35">
      <c r="A591" t="str">
        <f>"16.1199"</f>
        <v>16.1199</v>
      </c>
      <c r="B591" t="s">
        <v>1386</v>
      </c>
      <c r="C591" s="8" t="s">
        <v>1387</v>
      </c>
      <c r="D591" t="s">
        <v>250</v>
      </c>
      <c r="E591" t="s">
        <v>251</v>
      </c>
      <c r="F591" t="str">
        <f>"16.1199"</f>
        <v>16.1199</v>
      </c>
      <c r="G591" s="8" t="s">
        <v>1387</v>
      </c>
    </row>
    <row r="592" spans="1:7" ht="29" x14ac:dyDescent="0.35">
      <c r="A592" t="str">
        <f>"16.1200"</f>
        <v>16.1200</v>
      </c>
      <c r="B592" t="s">
        <v>1388</v>
      </c>
      <c r="C592" s="8" t="s">
        <v>1389</v>
      </c>
      <c r="D592" t="s">
        <v>250</v>
      </c>
      <c r="E592" t="s">
        <v>251</v>
      </c>
      <c r="F592" t="str">
        <f>"16.1200"</f>
        <v>16.1200</v>
      </c>
      <c r="G592" s="8" t="s">
        <v>1389</v>
      </c>
    </row>
    <row r="593" spans="1:7" ht="29" x14ac:dyDescent="0.35">
      <c r="A593" t="str">
        <f>"16.1202"</f>
        <v>16.1202</v>
      </c>
      <c r="B593" t="s">
        <v>1390</v>
      </c>
      <c r="C593" s="8" t="s">
        <v>1391</v>
      </c>
      <c r="D593" t="s">
        <v>250</v>
      </c>
      <c r="E593" t="s">
        <v>251</v>
      </c>
      <c r="F593" t="str">
        <f>"16.1202"</f>
        <v>16.1202</v>
      </c>
      <c r="G593" s="8" t="s">
        <v>1391</v>
      </c>
    </row>
    <row r="594" spans="1:7" x14ac:dyDescent="0.35">
      <c r="A594" t="str">
        <f>"16.1203"</f>
        <v>16.1203</v>
      </c>
      <c r="B594" t="s">
        <v>1392</v>
      </c>
      <c r="C594" s="8" t="s">
        <v>1393</v>
      </c>
      <c r="D594" t="s">
        <v>250</v>
      </c>
      <c r="E594" t="s">
        <v>251</v>
      </c>
      <c r="F594" t="str">
        <f>"16.1203"</f>
        <v>16.1203</v>
      </c>
      <c r="G594" s="8" t="s">
        <v>1393</v>
      </c>
    </row>
    <row r="595" spans="1:7" ht="29" x14ac:dyDescent="0.35">
      <c r="A595" t="str">
        <f>"16.1299"</f>
        <v>16.1299</v>
      </c>
      <c r="B595" t="s">
        <v>1394</v>
      </c>
      <c r="C595" s="8" t="s">
        <v>1395</v>
      </c>
      <c r="D595" t="s">
        <v>250</v>
      </c>
      <c r="E595" t="s">
        <v>251</v>
      </c>
      <c r="F595" t="str">
        <f>"16.1299"</f>
        <v>16.1299</v>
      </c>
      <c r="G595" s="8" t="s">
        <v>1395</v>
      </c>
    </row>
    <row r="596" spans="1:7" ht="29" x14ac:dyDescent="0.35">
      <c r="A596" t="str">
        <f>"16.1301"</f>
        <v>16.1301</v>
      </c>
      <c r="B596" t="s">
        <v>1396</v>
      </c>
      <c r="C596" s="8" t="s">
        <v>1397</v>
      </c>
      <c r="D596" t="s">
        <v>250</v>
      </c>
      <c r="E596" t="s">
        <v>251</v>
      </c>
      <c r="F596" t="str">
        <f>"16.1301"</f>
        <v>16.1301</v>
      </c>
      <c r="G596" s="8" t="s">
        <v>1397</v>
      </c>
    </row>
    <row r="597" spans="1:7" ht="29" x14ac:dyDescent="0.35">
      <c r="A597" t="str">
        <f>"16.1400"</f>
        <v>16.1400</v>
      </c>
      <c r="B597" t="s">
        <v>1398</v>
      </c>
      <c r="C597" s="8" t="s">
        <v>1399</v>
      </c>
      <c r="D597" t="s">
        <v>250</v>
      </c>
      <c r="E597" t="s">
        <v>251</v>
      </c>
      <c r="F597" t="str">
        <f>"16.1400"</f>
        <v>16.1400</v>
      </c>
      <c r="G597" s="8" t="s">
        <v>1399</v>
      </c>
    </row>
    <row r="598" spans="1:7" ht="29" x14ac:dyDescent="0.35">
      <c r="A598" t="str">
        <f>"16.1401"</f>
        <v>16.1401</v>
      </c>
      <c r="B598" t="s">
        <v>1400</v>
      </c>
      <c r="C598" s="8" t="s">
        <v>1401</v>
      </c>
      <c r="D598" t="s">
        <v>250</v>
      </c>
      <c r="E598" t="s">
        <v>251</v>
      </c>
      <c r="F598" t="str">
        <f>"16.1401"</f>
        <v>16.1401</v>
      </c>
      <c r="G598" s="8" t="s">
        <v>1401</v>
      </c>
    </row>
    <row r="599" spans="1:7" ht="29" x14ac:dyDescent="0.35">
      <c r="A599" t="str">
        <f>"16.1402"</f>
        <v>16.1402</v>
      </c>
      <c r="B599" t="s">
        <v>1402</v>
      </c>
      <c r="C599" s="8" t="s">
        <v>1403</v>
      </c>
      <c r="D599" t="s">
        <v>250</v>
      </c>
      <c r="E599" t="s">
        <v>251</v>
      </c>
      <c r="F599" t="str">
        <f>"16.1402"</f>
        <v>16.1402</v>
      </c>
      <c r="G599" s="8" t="s">
        <v>1403</v>
      </c>
    </row>
    <row r="600" spans="1:7" x14ac:dyDescent="0.35">
      <c r="A600" t="str">
        <f>"16.1403"</f>
        <v>16.1403</v>
      </c>
      <c r="B600" t="s">
        <v>1404</v>
      </c>
      <c r="C600" s="8" t="s">
        <v>1405</v>
      </c>
      <c r="D600" t="s">
        <v>250</v>
      </c>
      <c r="E600" t="s">
        <v>251</v>
      </c>
      <c r="F600" t="str">
        <f>"16.1403"</f>
        <v>16.1403</v>
      </c>
      <c r="G600" s="8" t="s">
        <v>1405</v>
      </c>
    </row>
    <row r="601" spans="1:7" x14ac:dyDescent="0.35">
      <c r="A601" t="str">
        <f>"16.1404"</f>
        <v>16.1404</v>
      </c>
      <c r="B601" t="s">
        <v>1406</v>
      </c>
      <c r="C601" s="8" t="s">
        <v>1407</v>
      </c>
      <c r="D601" t="s">
        <v>250</v>
      </c>
      <c r="E601" t="s">
        <v>251</v>
      </c>
      <c r="F601" t="str">
        <f>"16.1404"</f>
        <v>16.1404</v>
      </c>
      <c r="G601" s="8" t="s">
        <v>1407</v>
      </c>
    </row>
    <row r="602" spans="1:7" ht="29" x14ac:dyDescent="0.35">
      <c r="A602" t="str">
        <f>"16.1405"</f>
        <v>16.1405</v>
      </c>
      <c r="B602" t="s">
        <v>1408</v>
      </c>
      <c r="C602" s="8" t="s">
        <v>1409</v>
      </c>
      <c r="D602" t="s">
        <v>250</v>
      </c>
      <c r="E602" t="s">
        <v>251</v>
      </c>
      <c r="F602" t="str">
        <f>"16.1405"</f>
        <v>16.1405</v>
      </c>
      <c r="G602" s="8" t="s">
        <v>1409</v>
      </c>
    </row>
    <row r="603" spans="1:7" x14ac:dyDescent="0.35">
      <c r="A603" t="str">
        <f>"16.1406"</f>
        <v>16.1406</v>
      </c>
      <c r="B603" t="s">
        <v>1410</v>
      </c>
      <c r="C603" s="8" t="s">
        <v>1411</v>
      </c>
      <c r="D603" t="s">
        <v>250</v>
      </c>
      <c r="E603" t="s">
        <v>251</v>
      </c>
      <c r="F603" t="str">
        <f>"16.1406"</f>
        <v>16.1406</v>
      </c>
      <c r="G603" s="8" t="s">
        <v>1411</v>
      </c>
    </row>
    <row r="604" spans="1:7" x14ac:dyDescent="0.35">
      <c r="A604" t="str">
        <f>"16.1407"</f>
        <v>16.1407</v>
      </c>
      <c r="B604" t="s">
        <v>1412</v>
      </c>
      <c r="C604" s="8" t="s">
        <v>1413</v>
      </c>
      <c r="D604" t="s">
        <v>250</v>
      </c>
      <c r="E604" t="s">
        <v>251</v>
      </c>
      <c r="F604" t="str">
        <f>"16.1407"</f>
        <v>16.1407</v>
      </c>
      <c r="G604" s="8" t="s">
        <v>1413</v>
      </c>
    </row>
    <row r="605" spans="1:7" x14ac:dyDescent="0.35">
      <c r="A605" t="str">
        <f>"16.1408"</f>
        <v>16.1408</v>
      </c>
      <c r="B605" t="s">
        <v>1414</v>
      </c>
      <c r="C605" s="8" t="s">
        <v>1415</v>
      </c>
      <c r="D605" t="s">
        <v>250</v>
      </c>
      <c r="E605" t="s">
        <v>251</v>
      </c>
      <c r="F605" t="str">
        <f>"16.1408"</f>
        <v>16.1408</v>
      </c>
      <c r="G605" s="8" t="s">
        <v>1415</v>
      </c>
    </row>
    <row r="606" spans="1:7" x14ac:dyDescent="0.35">
      <c r="D606" t="s">
        <v>275</v>
      </c>
      <c r="E606" t="s">
        <v>251</v>
      </c>
      <c r="F606" t="str">
        <f>"16.1409"</f>
        <v>16.1409</v>
      </c>
      <c r="G606" s="8" t="s">
        <v>1416</v>
      </c>
    </row>
    <row r="607" spans="1:7" ht="43.5" x14ac:dyDescent="0.35">
      <c r="A607" t="str">
        <f>"16.1499"</f>
        <v>16.1499</v>
      </c>
      <c r="B607" t="s">
        <v>1417</v>
      </c>
      <c r="C607" s="8" t="s">
        <v>1418</v>
      </c>
      <c r="D607" t="s">
        <v>250</v>
      </c>
      <c r="E607" t="s">
        <v>251</v>
      </c>
      <c r="F607" t="str">
        <f>"16.1499"</f>
        <v>16.1499</v>
      </c>
      <c r="G607" s="8" t="s">
        <v>1418</v>
      </c>
    </row>
    <row r="608" spans="1:7" x14ac:dyDescent="0.35">
      <c r="A608" t="str">
        <f>"16.1501"</f>
        <v>16.1501</v>
      </c>
      <c r="B608" t="s">
        <v>1419</v>
      </c>
      <c r="C608" s="8" t="s">
        <v>1420</v>
      </c>
      <c r="D608" t="s">
        <v>250</v>
      </c>
      <c r="E608" t="s">
        <v>251</v>
      </c>
      <c r="F608" t="str">
        <f>"16.1501"</f>
        <v>16.1501</v>
      </c>
      <c r="G608" s="8" t="s">
        <v>1420</v>
      </c>
    </row>
    <row r="609" spans="1:7" ht="29" x14ac:dyDescent="0.35">
      <c r="A609" t="str">
        <f>"16.1502"</f>
        <v>16.1502</v>
      </c>
      <c r="B609" t="s">
        <v>1421</v>
      </c>
      <c r="C609" s="8" t="s">
        <v>1422</v>
      </c>
      <c r="D609" t="s">
        <v>250</v>
      </c>
      <c r="E609" t="s">
        <v>251</v>
      </c>
      <c r="F609" t="str">
        <f>"16.1502"</f>
        <v>16.1502</v>
      </c>
      <c r="G609" s="8" t="s">
        <v>1422</v>
      </c>
    </row>
    <row r="610" spans="1:7" ht="29" x14ac:dyDescent="0.35">
      <c r="A610" t="str">
        <f>"16.1503"</f>
        <v>16.1503</v>
      </c>
      <c r="B610" t="s">
        <v>1423</v>
      </c>
      <c r="C610" s="8" t="s">
        <v>1424</v>
      </c>
      <c r="D610" t="s">
        <v>250</v>
      </c>
      <c r="E610" t="s">
        <v>251</v>
      </c>
      <c r="F610" t="str">
        <f>"16.1503"</f>
        <v>16.1503</v>
      </c>
      <c r="G610" s="8" t="s">
        <v>1424</v>
      </c>
    </row>
    <row r="611" spans="1:7" x14ac:dyDescent="0.35">
      <c r="A611" t="str">
        <f>"16.1504"</f>
        <v>16.1504</v>
      </c>
      <c r="B611" t="s">
        <v>1425</v>
      </c>
      <c r="C611" s="8" t="s">
        <v>1426</v>
      </c>
      <c r="D611" t="s">
        <v>250</v>
      </c>
      <c r="E611" t="s">
        <v>251</v>
      </c>
      <c r="F611" t="str">
        <f>"16.1504"</f>
        <v>16.1504</v>
      </c>
      <c r="G611" s="8" t="s">
        <v>1426</v>
      </c>
    </row>
    <row r="612" spans="1:7" ht="43.5" x14ac:dyDescent="0.35">
      <c r="A612" t="str">
        <f>"16.1599"</f>
        <v>16.1599</v>
      </c>
      <c r="B612" t="s">
        <v>1427</v>
      </c>
      <c r="C612" s="8" t="s">
        <v>1428</v>
      </c>
      <c r="D612" t="s">
        <v>250</v>
      </c>
      <c r="E612" t="s">
        <v>251</v>
      </c>
      <c r="F612" t="str">
        <f>"16.1599"</f>
        <v>16.1599</v>
      </c>
      <c r="G612" s="8" t="s">
        <v>1428</v>
      </c>
    </row>
    <row r="613" spans="1:7" x14ac:dyDescent="0.35">
      <c r="A613" t="str">
        <f>"16.1601"</f>
        <v>16.1601</v>
      </c>
      <c r="B613" t="s">
        <v>1429</v>
      </c>
      <c r="C613" s="8" t="s">
        <v>1430</v>
      </c>
      <c r="D613" t="s">
        <v>250</v>
      </c>
      <c r="E613" t="s">
        <v>251</v>
      </c>
      <c r="F613" t="str">
        <f>"16.1601"</f>
        <v>16.1601</v>
      </c>
      <c r="G613" s="8" t="s">
        <v>1430</v>
      </c>
    </row>
    <row r="614" spans="1:7" ht="29" x14ac:dyDescent="0.35">
      <c r="A614" t="str">
        <f>"16.1602"</f>
        <v>16.1602</v>
      </c>
      <c r="B614" t="s">
        <v>1431</v>
      </c>
      <c r="C614" s="8" t="s">
        <v>1432</v>
      </c>
      <c r="D614" t="s">
        <v>250</v>
      </c>
      <c r="E614" t="s">
        <v>251</v>
      </c>
      <c r="F614" t="str">
        <f>"16.1602"</f>
        <v>16.1602</v>
      </c>
      <c r="G614" s="8" t="s">
        <v>1432</v>
      </c>
    </row>
    <row r="615" spans="1:7" ht="29" x14ac:dyDescent="0.35">
      <c r="A615" t="str">
        <f>"16.1603"</f>
        <v>16.1603</v>
      </c>
      <c r="B615" t="s">
        <v>1433</v>
      </c>
      <c r="C615" s="8" t="s">
        <v>1434</v>
      </c>
      <c r="D615" t="s">
        <v>250</v>
      </c>
      <c r="E615" t="s">
        <v>251</v>
      </c>
      <c r="F615" t="str">
        <f>"16.1603"</f>
        <v>16.1603</v>
      </c>
      <c r="G615" s="8" t="s">
        <v>1434</v>
      </c>
    </row>
    <row r="616" spans="1:7" x14ac:dyDescent="0.35">
      <c r="A616" t="str">
        <f>"16.1699"</f>
        <v>16.1699</v>
      </c>
      <c r="B616" t="s">
        <v>1435</v>
      </c>
      <c r="C616" s="8" t="s">
        <v>1436</v>
      </c>
      <c r="D616" t="s">
        <v>250</v>
      </c>
      <c r="E616" t="s">
        <v>251</v>
      </c>
      <c r="F616" t="str">
        <f>"16.1699"</f>
        <v>16.1699</v>
      </c>
      <c r="G616" s="8" t="s">
        <v>1436</v>
      </c>
    </row>
    <row r="617" spans="1:7" x14ac:dyDescent="0.35">
      <c r="D617" t="s">
        <v>275</v>
      </c>
      <c r="E617" t="s">
        <v>251</v>
      </c>
      <c r="F617" t="str">
        <f>"16.1701"</f>
        <v>16.1701</v>
      </c>
      <c r="G617" s="8" t="s">
        <v>1437</v>
      </c>
    </row>
    <row r="618" spans="1:7" x14ac:dyDescent="0.35">
      <c r="D618" t="s">
        <v>275</v>
      </c>
      <c r="E618" t="s">
        <v>251</v>
      </c>
      <c r="F618" t="str">
        <f>"16.1702"</f>
        <v>16.1702</v>
      </c>
      <c r="G618" s="8" t="s">
        <v>301</v>
      </c>
    </row>
    <row r="619" spans="1:7" x14ac:dyDescent="0.35">
      <c r="D619" t="s">
        <v>275</v>
      </c>
      <c r="E619" t="s">
        <v>251</v>
      </c>
      <c r="F619" t="str">
        <f>"16.1799"</f>
        <v>16.1799</v>
      </c>
      <c r="G619" s="8" t="s">
        <v>301</v>
      </c>
    </row>
    <row r="620" spans="1:7" x14ac:dyDescent="0.35">
      <c r="D620" t="s">
        <v>275</v>
      </c>
      <c r="E620" t="s">
        <v>251</v>
      </c>
      <c r="F620" t="str">
        <f>"16.1801"</f>
        <v>16.1801</v>
      </c>
      <c r="G620" s="8" t="s">
        <v>1438</v>
      </c>
    </row>
    <row r="621" spans="1:7" ht="29" x14ac:dyDescent="0.35">
      <c r="A621" t="str">
        <f>"16.9999"</f>
        <v>16.9999</v>
      </c>
      <c r="B621" t="s">
        <v>1439</v>
      </c>
      <c r="C621" s="8" t="s">
        <v>1440</v>
      </c>
      <c r="D621" t="s">
        <v>250</v>
      </c>
      <c r="E621" t="s">
        <v>251</v>
      </c>
      <c r="F621" t="str">
        <f>"16.9999"</f>
        <v>16.9999</v>
      </c>
      <c r="G621" s="8" t="s">
        <v>1440</v>
      </c>
    </row>
    <row r="622" spans="1:7" x14ac:dyDescent="0.35">
      <c r="A622" t="str">
        <f>"19.0000"</f>
        <v>19.0000</v>
      </c>
      <c r="B622" t="s">
        <v>1441</v>
      </c>
      <c r="C622" s="8" t="s">
        <v>1442</v>
      </c>
      <c r="D622" t="s">
        <v>295</v>
      </c>
      <c r="E622" t="s">
        <v>251</v>
      </c>
      <c r="F622" t="str">
        <f>"19.1001"</f>
        <v>19.1001</v>
      </c>
      <c r="G622" s="8" t="s">
        <v>1442</v>
      </c>
    </row>
    <row r="623" spans="1:7" ht="29" x14ac:dyDescent="0.35">
      <c r="A623" t="str">
        <f>"19.0101"</f>
        <v>19.0101</v>
      </c>
      <c r="B623" t="s">
        <v>1443</v>
      </c>
      <c r="C623" s="8" t="s">
        <v>1444</v>
      </c>
      <c r="D623" t="s">
        <v>250</v>
      </c>
      <c r="E623" t="s">
        <v>251</v>
      </c>
      <c r="F623" t="str">
        <f>"19.0101"</f>
        <v>19.0101</v>
      </c>
      <c r="G623" s="8" t="s">
        <v>1444</v>
      </c>
    </row>
    <row r="624" spans="1:7" ht="29" x14ac:dyDescent="0.35">
      <c r="A624" t="str">
        <f>"19.0201"</f>
        <v>19.0201</v>
      </c>
      <c r="B624" t="s">
        <v>1445</v>
      </c>
      <c r="C624" s="8" t="s">
        <v>1446</v>
      </c>
      <c r="D624" t="s">
        <v>250</v>
      </c>
      <c r="E624" t="s">
        <v>251</v>
      </c>
      <c r="F624" t="str">
        <f>"19.0201"</f>
        <v>19.0201</v>
      </c>
      <c r="G624" s="8" t="s">
        <v>1446</v>
      </c>
    </row>
    <row r="625" spans="1:7" ht="29" x14ac:dyDescent="0.35">
      <c r="A625" t="str">
        <f>"19.0202"</f>
        <v>19.0202</v>
      </c>
      <c r="B625" t="s">
        <v>1447</v>
      </c>
      <c r="C625" s="8" t="s">
        <v>1448</v>
      </c>
      <c r="D625" t="s">
        <v>250</v>
      </c>
      <c r="E625" t="s">
        <v>251</v>
      </c>
      <c r="F625" t="str">
        <f>"19.0202"</f>
        <v>19.0202</v>
      </c>
      <c r="G625" s="8" t="s">
        <v>1448</v>
      </c>
    </row>
    <row r="626" spans="1:7" ht="29" x14ac:dyDescent="0.35">
      <c r="A626" t="str">
        <f>"19.0203"</f>
        <v>19.0203</v>
      </c>
      <c r="B626" t="s">
        <v>1449</v>
      </c>
      <c r="C626" s="8" t="s">
        <v>1450</v>
      </c>
      <c r="D626" t="s">
        <v>250</v>
      </c>
      <c r="E626" t="s">
        <v>251</v>
      </c>
      <c r="F626" t="str">
        <f>"19.0203"</f>
        <v>19.0203</v>
      </c>
      <c r="G626" s="8" t="s">
        <v>1450</v>
      </c>
    </row>
    <row r="627" spans="1:7" ht="29" x14ac:dyDescent="0.35">
      <c r="A627" t="str">
        <f>"19.0299"</f>
        <v>19.0299</v>
      </c>
      <c r="B627" t="s">
        <v>1451</v>
      </c>
      <c r="C627" s="8" t="s">
        <v>1452</v>
      </c>
      <c r="D627" t="s">
        <v>250</v>
      </c>
      <c r="E627" t="s">
        <v>251</v>
      </c>
      <c r="F627" t="str">
        <f>"19.0299"</f>
        <v>19.0299</v>
      </c>
      <c r="G627" s="8" t="s">
        <v>1452</v>
      </c>
    </row>
    <row r="628" spans="1:7" ht="29" x14ac:dyDescent="0.35">
      <c r="A628" t="str">
        <f>"19.0401"</f>
        <v>19.0401</v>
      </c>
      <c r="B628" t="s">
        <v>1453</v>
      </c>
      <c r="C628" s="8" t="s">
        <v>1454</v>
      </c>
      <c r="D628" t="s">
        <v>250</v>
      </c>
      <c r="E628" t="s">
        <v>251</v>
      </c>
      <c r="F628" t="str">
        <f>"19.0401"</f>
        <v>19.0401</v>
      </c>
      <c r="G628" s="8" t="s">
        <v>1454</v>
      </c>
    </row>
    <row r="629" spans="1:7" x14ac:dyDescent="0.35">
      <c r="A629" t="str">
        <f>"19.0402"</f>
        <v>19.0402</v>
      </c>
      <c r="B629" t="s">
        <v>1455</v>
      </c>
      <c r="C629" s="8" t="s">
        <v>1456</v>
      </c>
      <c r="D629" t="s">
        <v>250</v>
      </c>
      <c r="E629" t="s">
        <v>251</v>
      </c>
      <c r="F629" t="str">
        <f>"19.0402"</f>
        <v>19.0402</v>
      </c>
      <c r="G629" s="8" t="s">
        <v>1456</v>
      </c>
    </row>
    <row r="630" spans="1:7" x14ac:dyDescent="0.35">
      <c r="A630" t="str">
        <f>"19.0403"</f>
        <v>19.0403</v>
      </c>
      <c r="B630" t="s">
        <v>1457</v>
      </c>
      <c r="C630" s="8" t="s">
        <v>1458</v>
      </c>
      <c r="D630" t="s">
        <v>250</v>
      </c>
      <c r="E630" t="s">
        <v>251</v>
      </c>
      <c r="F630" t="str">
        <f>"19.0403"</f>
        <v>19.0403</v>
      </c>
      <c r="G630" s="8" t="s">
        <v>1458</v>
      </c>
    </row>
    <row r="631" spans="1:7" ht="29" x14ac:dyDescent="0.35">
      <c r="A631" t="str">
        <f>"19.0499"</f>
        <v>19.0499</v>
      </c>
      <c r="B631" t="s">
        <v>1459</v>
      </c>
      <c r="C631" s="8" t="s">
        <v>1460</v>
      </c>
      <c r="D631" t="s">
        <v>250</v>
      </c>
      <c r="E631" t="s">
        <v>251</v>
      </c>
      <c r="F631" t="str">
        <f>"19.0499"</f>
        <v>19.0499</v>
      </c>
      <c r="G631" s="8" t="s">
        <v>1460</v>
      </c>
    </row>
    <row r="632" spans="1:7" ht="29" x14ac:dyDescent="0.35">
      <c r="A632" t="str">
        <f>"19.0501"</f>
        <v>19.0501</v>
      </c>
      <c r="B632" t="s">
        <v>1461</v>
      </c>
      <c r="C632" s="8" t="s">
        <v>1462</v>
      </c>
      <c r="D632" t="s">
        <v>250</v>
      </c>
      <c r="E632" t="s">
        <v>251</v>
      </c>
      <c r="F632" t="str">
        <f>"19.0501"</f>
        <v>19.0501</v>
      </c>
      <c r="G632" s="8" t="s">
        <v>1462</v>
      </c>
    </row>
    <row r="633" spans="1:7" x14ac:dyDescent="0.35">
      <c r="A633" t="str">
        <f>"19.0504"</f>
        <v>19.0504</v>
      </c>
      <c r="B633" t="s">
        <v>1463</v>
      </c>
      <c r="C633" s="8" t="s">
        <v>1464</v>
      </c>
      <c r="D633" t="s">
        <v>250</v>
      </c>
      <c r="E633" t="s">
        <v>251</v>
      </c>
      <c r="F633" t="str">
        <f>"19.0504"</f>
        <v>19.0504</v>
      </c>
      <c r="G633" s="8" t="s">
        <v>1464</v>
      </c>
    </row>
    <row r="634" spans="1:7" ht="29" x14ac:dyDescent="0.35">
      <c r="A634" t="str">
        <f>"19.0505"</f>
        <v>19.0505</v>
      </c>
      <c r="B634" t="s">
        <v>1465</v>
      </c>
      <c r="C634" s="8" t="s">
        <v>1466</v>
      </c>
      <c r="D634" t="s">
        <v>250</v>
      </c>
      <c r="E634" t="s">
        <v>251</v>
      </c>
      <c r="F634" t="str">
        <f>"19.0505"</f>
        <v>19.0505</v>
      </c>
      <c r="G634" s="8" t="s">
        <v>1466</v>
      </c>
    </row>
    <row r="635" spans="1:7" ht="29" x14ac:dyDescent="0.35">
      <c r="A635" t="str">
        <f>"19.0599"</f>
        <v>19.0599</v>
      </c>
      <c r="B635" t="s">
        <v>1467</v>
      </c>
      <c r="C635" s="8" t="s">
        <v>1468</v>
      </c>
      <c r="D635" t="s">
        <v>250</v>
      </c>
      <c r="E635" t="s">
        <v>251</v>
      </c>
      <c r="F635" t="str">
        <f>"19.0599"</f>
        <v>19.0599</v>
      </c>
      <c r="G635" s="8" t="s">
        <v>1468</v>
      </c>
    </row>
    <row r="636" spans="1:7" ht="29" x14ac:dyDescent="0.35">
      <c r="A636" t="str">
        <f>"19.0601"</f>
        <v>19.0601</v>
      </c>
      <c r="B636" t="s">
        <v>1469</v>
      </c>
      <c r="C636" s="8" t="s">
        <v>1470</v>
      </c>
      <c r="D636" t="s">
        <v>250</v>
      </c>
      <c r="E636" t="s">
        <v>251</v>
      </c>
      <c r="F636" t="str">
        <f>"19.0601"</f>
        <v>19.0601</v>
      </c>
      <c r="G636" s="8" t="s">
        <v>1470</v>
      </c>
    </row>
    <row r="637" spans="1:7" x14ac:dyDescent="0.35">
      <c r="A637" t="str">
        <f>"19.0604"</f>
        <v>19.0604</v>
      </c>
      <c r="B637" t="s">
        <v>1471</v>
      </c>
      <c r="C637" s="8" t="s">
        <v>1472</v>
      </c>
      <c r="D637" t="s">
        <v>250</v>
      </c>
      <c r="E637" t="s">
        <v>251</v>
      </c>
      <c r="F637" t="str">
        <f>"19.0604"</f>
        <v>19.0604</v>
      </c>
      <c r="G637" s="8" t="s">
        <v>1472</v>
      </c>
    </row>
    <row r="638" spans="1:7" ht="29" x14ac:dyDescent="0.35">
      <c r="A638" t="str">
        <f>"19.0605"</f>
        <v>19.0605</v>
      </c>
      <c r="B638" t="s">
        <v>1473</v>
      </c>
      <c r="C638" s="8" t="s">
        <v>1474</v>
      </c>
      <c r="D638" t="s">
        <v>250</v>
      </c>
      <c r="E638" t="s">
        <v>251</v>
      </c>
      <c r="F638" t="str">
        <f>"19.0605"</f>
        <v>19.0605</v>
      </c>
      <c r="G638" s="8" t="s">
        <v>1474</v>
      </c>
    </row>
    <row r="639" spans="1:7" x14ac:dyDescent="0.35">
      <c r="A639" t="str">
        <f>"19.0699"</f>
        <v>19.0699</v>
      </c>
      <c r="B639" t="s">
        <v>1475</v>
      </c>
      <c r="C639" s="8" t="s">
        <v>1476</v>
      </c>
      <c r="D639" t="s">
        <v>250</v>
      </c>
      <c r="E639" t="s">
        <v>251</v>
      </c>
      <c r="F639" t="str">
        <f>"19.0699"</f>
        <v>19.0699</v>
      </c>
      <c r="G639" s="8" t="s">
        <v>1476</v>
      </c>
    </row>
    <row r="640" spans="1:7" ht="29" x14ac:dyDescent="0.35">
      <c r="A640" t="str">
        <f>"19.0701"</f>
        <v>19.0701</v>
      </c>
      <c r="B640" t="s">
        <v>1477</v>
      </c>
      <c r="C640" s="8" t="s">
        <v>1478</v>
      </c>
      <c r="D640" t="s">
        <v>250</v>
      </c>
      <c r="E640" t="s">
        <v>251</v>
      </c>
      <c r="F640" t="str">
        <f>"19.0701"</f>
        <v>19.0701</v>
      </c>
      <c r="G640" s="8" t="s">
        <v>1478</v>
      </c>
    </row>
    <row r="641" spans="1:7" x14ac:dyDescent="0.35">
      <c r="A641" t="str">
        <f>"19.0702"</f>
        <v>19.0702</v>
      </c>
      <c r="B641" t="s">
        <v>1479</v>
      </c>
      <c r="C641" s="8" t="s">
        <v>1480</v>
      </c>
      <c r="D641" t="s">
        <v>250</v>
      </c>
      <c r="E641" t="s">
        <v>251</v>
      </c>
      <c r="F641" t="str">
        <f>"19.0702"</f>
        <v>19.0702</v>
      </c>
      <c r="G641" s="8" t="s">
        <v>1480</v>
      </c>
    </row>
    <row r="642" spans="1:7" x14ac:dyDescent="0.35">
      <c r="A642" t="str">
        <f>"19.0704"</f>
        <v>19.0704</v>
      </c>
      <c r="B642" t="s">
        <v>1481</v>
      </c>
      <c r="C642" s="8" t="s">
        <v>1482</v>
      </c>
      <c r="D642" t="s">
        <v>250</v>
      </c>
      <c r="E642" t="s">
        <v>251</v>
      </c>
      <c r="F642" t="str">
        <f>"19.0704"</f>
        <v>19.0704</v>
      </c>
      <c r="G642" s="8" t="s">
        <v>1482</v>
      </c>
    </row>
    <row r="643" spans="1:7" x14ac:dyDescent="0.35">
      <c r="A643" t="str">
        <f>"19.0706"</f>
        <v>19.0706</v>
      </c>
      <c r="B643" t="s">
        <v>1483</v>
      </c>
      <c r="C643" s="8" t="s">
        <v>1484</v>
      </c>
      <c r="D643" t="s">
        <v>250</v>
      </c>
      <c r="E643" t="s">
        <v>251</v>
      </c>
      <c r="F643" t="str">
        <f>"19.0706"</f>
        <v>19.0706</v>
      </c>
      <c r="G643" s="8" t="s">
        <v>1484</v>
      </c>
    </row>
    <row r="644" spans="1:7" x14ac:dyDescent="0.35">
      <c r="A644" t="str">
        <f>"19.0707"</f>
        <v>19.0707</v>
      </c>
      <c r="B644" t="s">
        <v>1485</v>
      </c>
      <c r="C644" s="8" t="s">
        <v>1486</v>
      </c>
      <c r="D644" t="s">
        <v>250</v>
      </c>
      <c r="E644" t="s">
        <v>251</v>
      </c>
      <c r="F644" t="str">
        <f>"19.0707"</f>
        <v>19.0707</v>
      </c>
      <c r="G644" s="8" t="s">
        <v>1486</v>
      </c>
    </row>
    <row r="645" spans="1:7" ht="29" x14ac:dyDescent="0.35">
      <c r="A645" t="str">
        <f>"19.0708"</f>
        <v>19.0708</v>
      </c>
      <c r="B645" t="s">
        <v>1487</v>
      </c>
      <c r="C645" s="8" t="s">
        <v>1488</v>
      </c>
      <c r="D645" t="s">
        <v>250</v>
      </c>
      <c r="E645" t="s">
        <v>251</v>
      </c>
      <c r="F645" t="str">
        <f>"19.0708"</f>
        <v>19.0708</v>
      </c>
      <c r="G645" s="8" t="s">
        <v>1488</v>
      </c>
    </row>
    <row r="646" spans="1:7" x14ac:dyDescent="0.35">
      <c r="A646" t="str">
        <f>"19.0709"</f>
        <v>19.0709</v>
      </c>
      <c r="B646" t="s">
        <v>1489</v>
      </c>
      <c r="C646" s="8" t="s">
        <v>1490</v>
      </c>
      <c r="D646" t="s">
        <v>250</v>
      </c>
      <c r="E646" t="s">
        <v>251</v>
      </c>
      <c r="F646" t="str">
        <f>"19.0709"</f>
        <v>19.0709</v>
      </c>
      <c r="G646" s="8" t="s">
        <v>1490</v>
      </c>
    </row>
    <row r="647" spans="1:7" x14ac:dyDescent="0.35">
      <c r="A647" t="str">
        <f>"19.0710"</f>
        <v>19.0710</v>
      </c>
      <c r="B647" t="s">
        <v>1491</v>
      </c>
      <c r="C647" s="8" t="s">
        <v>1492</v>
      </c>
      <c r="D647" t="s">
        <v>250</v>
      </c>
      <c r="E647" t="s">
        <v>251</v>
      </c>
      <c r="F647" t="str">
        <f>"19.0710"</f>
        <v>19.0710</v>
      </c>
      <c r="G647" s="8" t="s">
        <v>1492</v>
      </c>
    </row>
    <row r="648" spans="1:7" x14ac:dyDescent="0.35">
      <c r="D648" t="s">
        <v>275</v>
      </c>
      <c r="E648" t="s">
        <v>251</v>
      </c>
      <c r="F648" t="str">
        <f>"19.0711"</f>
        <v>19.0711</v>
      </c>
      <c r="G648" s="8" t="s">
        <v>1493</v>
      </c>
    </row>
    <row r="649" spans="1:7" x14ac:dyDescent="0.35">
      <c r="D649" t="s">
        <v>275</v>
      </c>
      <c r="E649" t="s">
        <v>251</v>
      </c>
      <c r="F649" t="str">
        <f>"19.0712"</f>
        <v>19.0712</v>
      </c>
      <c r="G649" s="8" t="s">
        <v>1494</v>
      </c>
    </row>
    <row r="650" spans="1:7" ht="29" x14ac:dyDescent="0.35">
      <c r="A650" t="str">
        <f>"19.0799"</f>
        <v>19.0799</v>
      </c>
      <c r="B650" t="s">
        <v>1495</v>
      </c>
      <c r="C650" s="8" t="s">
        <v>1496</v>
      </c>
      <c r="D650" t="s">
        <v>250</v>
      </c>
      <c r="E650" t="s">
        <v>251</v>
      </c>
      <c r="F650" t="str">
        <f>"19.0799"</f>
        <v>19.0799</v>
      </c>
      <c r="G650" s="8" t="s">
        <v>1496</v>
      </c>
    </row>
    <row r="651" spans="1:7" x14ac:dyDescent="0.35">
      <c r="A651" t="str">
        <f>"19.0901"</f>
        <v>19.0901</v>
      </c>
      <c r="B651" t="s">
        <v>1497</v>
      </c>
      <c r="C651" s="8" t="s">
        <v>1498</v>
      </c>
      <c r="D651" t="s">
        <v>250</v>
      </c>
      <c r="E651" t="s">
        <v>251</v>
      </c>
      <c r="F651" t="str">
        <f>"19.0901"</f>
        <v>19.0901</v>
      </c>
      <c r="G651" s="8" t="s">
        <v>1498</v>
      </c>
    </row>
    <row r="652" spans="1:7" x14ac:dyDescent="0.35">
      <c r="A652" t="str">
        <f>"19.0902"</f>
        <v>19.0902</v>
      </c>
      <c r="B652" t="s">
        <v>1499</v>
      </c>
      <c r="C652" s="8" t="s">
        <v>1500</v>
      </c>
      <c r="D652" t="s">
        <v>250</v>
      </c>
      <c r="E652" t="s">
        <v>251</v>
      </c>
      <c r="F652" t="str">
        <f>"19.0902"</f>
        <v>19.0902</v>
      </c>
      <c r="G652" s="8" t="s">
        <v>1500</v>
      </c>
    </row>
    <row r="653" spans="1:7" x14ac:dyDescent="0.35">
      <c r="A653" t="str">
        <f>"19.0904"</f>
        <v>19.0904</v>
      </c>
      <c r="B653" t="s">
        <v>1501</v>
      </c>
      <c r="C653" s="8" t="s">
        <v>1502</v>
      </c>
      <c r="D653" t="s">
        <v>250</v>
      </c>
      <c r="E653" t="s">
        <v>251</v>
      </c>
      <c r="F653" t="str">
        <f>"19.0904"</f>
        <v>19.0904</v>
      </c>
      <c r="G653" s="8" t="s">
        <v>1502</v>
      </c>
    </row>
    <row r="654" spans="1:7" ht="29" x14ac:dyDescent="0.35">
      <c r="A654" t="str">
        <f>"19.0905"</f>
        <v>19.0905</v>
      </c>
      <c r="B654" t="s">
        <v>1503</v>
      </c>
      <c r="C654" s="8" t="s">
        <v>1504</v>
      </c>
      <c r="D654" t="s">
        <v>250</v>
      </c>
      <c r="E654" t="s">
        <v>251</v>
      </c>
      <c r="F654" t="str">
        <f>"19.0905"</f>
        <v>19.0905</v>
      </c>
      <c r="G654" s="8" t="s">
        <v>1504</v>
      </c>
    </row>
    <row r="655" spans="1:7" x14ac:dyDescent="0.35">
      <c r="A655" t="str">
        <f>"19.0906"</f>
        <v>19.0906</v>
      </c>
      <c r="B655" t="s">
        <v>1505</v>
      </c>
      <c r="C655" s="8" t="s">
        <v>1506</v>
      </c>
      <c r="D655" t="s">
        <v>250</v>
      </c>
      <c r="E655" t="s">
        <v>251</v>
      </c>
      <c r="F655" t="str">
        <f>"19.0906"</f>
        <v>19.0906</v>
      </c>
      <c r="G655" s="8" t="s">
        <v>1506</v>
      </c>
    </row>
    <row r="656" spans="1:7" x14ac:dyDescent="0.35">
      <c r="A656" t="str">
        <f>"19.0999"</f>
        <v>19.0999</v>
      </c>
      <c r="B656" t="s">
        <v>1507</v>
      </c>
      <c r="C656" s="8" t="s">
        <v>1508</v>
      </c>
      <c r="D656" t="s">
        <v>250</v>
      </c>
      <c r="E656" t="s">
        <v>251</v>
      </c>
      <c r="F656" t="str">
        <f>"19.0999"</f>
        <v>19.0999</v>
      </c>
      <c r="G656" s="8" t="s">
        <v>1508</v>
      </c>
    </row>
    <row r="657" spans="1:7" ht="29" x14ac:dyDescent="0.35">
      <c r="A657" t="str">
        <f>"19.9999"</f>
        <v>19.9999</v>
      </c>
      <c r="B657" t="s">
        <v>1509</v>
      </c>
      <c r="C657" s="8" t="s">
        <v>1510</v>
      </c>
      <c r="D657" t="s">
        <v>250</v>
      </c>
      <c r="E657" t="s">
        <v>251</v>
      </c>
      <c r="F657" t="str">
        <f>"19.9999"</f>
        <v>19.9999</v>
      </c>
      <c r="G657" s="8" t="s">
        <v>1510</v>
      </c>
    </row>
    <row r="658" spans="1:7" x14ac:dyDescent="0.35">
      <c r="D658" t="s">
        <v>275</v>
      </c>
      <c r="E658" t="s">
        <v>251</v>
      </c>
      <c r="F658" t="str">
        <f>"21.0101"</f>
        <v>21.0101</v>
      </c>
      <c r="G658" s="8" t="s">
        <v>301</v>
      </c>
    </row>
    <row r="659" spans="1:7" x14ac:dyDescent="0.35">
      <c r="A659" t="str">
        <f>"22.0000"</f>
        <v>22.0000</v>
      </c>
      <c r="B659" t="s">
        <v>1511</v>
      </c>
      <c r="C659" s="8" t="s">
        <v>1512</v>
      </c>
      <c r="D659" t="s">
        <v>250</v>
      </c>
      <c r="E659" t="s">
        <v>264</v>
      </c>
      <c r="F659" t="str">
        <f>"22.0000"</f>
        <v>22.0000</v>
      </c>
      <c r="G659" s="8" t="s">
        <v>1513</v>
      </c>
    </row>
    <row r="660" spans="1:7" x14ac:dyDescent="0.35">
      <c r="A660" t="str">
        <f>"22.0001"</f>
        <v>22.0001</v>
      </c>
      <c r="B660" t="s">
        <v>1514</v>
      </c>
      <c r="C660" s="8" t="s">
        <v>1515</v>
      </c>
      <c r="D660" t="s">
        <v>250</v>
      </c>
      <c r="E660" t="s">
        <v>251</v>
      </c>
      <c r="F660" t="str">
        <f>"22.0001"</f>
        <v>22.0001</v>
      </c>
      <c r="G660" s="8" t="s">
        <v>1515</v>
      </c>
    </row>
    <row r="661" spans="1:7" x14ac:dyDescent="0.35">
      <c r="D661" t="s">
        <v>275</v>
      </c>
      <c r="E661" t="s">
        <v>251</v>
      </c>
      <c r="F661" t="str">
        <f>"22.0099"</f>
        <v>22.0099</v>
      </c>
      <c r="G661" s="8" t="s">
        <v>1516</v>
      </c>
    </row>
    <row r="662" spans="1:7" x14ac:dyDescent="0.35">
      <c r="A662" t="str">
        <f>"22.0101"</f>
        <v>22.0101</v>
      </c>
      <c r="B662" t="s">
        <v>1517</v>
      </c>
      <c r="C662" s="8" t="s">
        <v>1518</v>
      </c>
      <c r="D662" t="s">
        <v>250</v>
      </c>
      <c r="E662" t="s">
        <v>251</v>
      </c>
      <c r="F662" t="str">
        <f>"22.0101"</f>
        <v>22.0101</v>
      </c>
      <c r="G662" s="8" t="s">
        <v>1518</v>
      </c>
    </row>
    <row r="663" spans="1:7" ht="29" x14ac:dyDescent="0.35">
      <c r="A663" t="str">
        <f>"22.0201"</f>
        <v>22.0201</v>
      </c>
      <c r="B663" t="s">
        <v>1519</v>
      </c>
      <c r="C663" s="8" t="s">
        <v>1520</v>
      </c>
      <c r="D663" t="s">
        <v>250</v>
      </c>
      <c r="E663" t="s">
        <v>251</v>
      </c>
      <c r="F663" t="str">
        <f>"22.0201"</f>
        <v>22.0201</v>
      </c>
      <c r="G663" s="8" t="s">
        <v>1520</v>
      </c>
    </row>
    <row r="664" spans="1:7" x14ac:dyDescent="0.35">
      <c r="A664" t="str">
        <f>"22.0202"</f>
        <v>22.0202</v>
      </c>
      <c r="B664" t="s">
        <v>1521</v>
      </c>
      <c r="C664" s="8" t="s">
        <v>1522</v>
      </c>
      <c r="D664" t="s">
        <v>250</v>
      </c>
      <c r="E664" t="s">
        <v>251</v>
      </c>
      <c r="F664" t="str">
        <f>"22.0202"</f>
        <v>22.0202</v>
      </c>
      <c r="G664" s="8" t="s">
        <v>1522</v>
      </c>
    </row>
    <row r="665" spans="1:7" ht="29" x14ac:dyDescent="0.35">
      <c r="A665" t="str">
        <f>"22.0203"</f>
        <v>22.0203</v>
      </c>
      <c r="B665" t="s">
        <v>1523</v>
      </c>
      <c r="C665" s="8" t="s">
        <v>1524</v>
      </c>
      <c r="D665" t="s">
        <v>250</v>
      </c>
      <c r="E665" t="s">
        <v>251</v>
      </c>
      <c r="F665" t="str">
        <f>"22.0203"</f>
        <v>22.0203</v>
      </c>
      <c r="G665" s="8" t="s">
        <v>1524</v>
      </c>
    </row>
    <row r="666" spans="1:7" ht="29" x14ac:dyDescent="0.35">
      <c r="A666" t="str">
        <f>"22.0204"</f>
        <v>22.0204</v>
      </c>
      <c r="B666" t="s">
        <v>1525</v>
      </c>
      <c r="C666" s="8" t="s">
        <v>1526</v>
      </c>
      <c r="D666" t="s">
        <v>250</v>
      </c>
      <c r="E666" t="s">
        <v>251</v>
      </c>
      <c r="F666" t="str">
        <f>"22.0204"</f>
        <v>22.0204</v>
      </c>
      <c r="G666" s="8" t="s">
        <v>1526</v>
      </c>
    </row>
    <row r="667" spans="1:7" ht="29" x14ac:dyDescent="0.35">
      <c r="A667" t="str">
        <f>"22.0205"</f>
        <v>22.0205</v>
      </c>
      <c r="B667" t="s">
        <v>1527</v>
      </c>
      <c r="C667" s="8" t="s">
        <v>1528</v>
      </c>
      <c r="D667" t="s">
        <v>250</v>
      </c>
      <c r="E667" t="s">
        <v>251</v>
      </c>
      <c r="F667" t="str">
        <f>"22.0205"</f>
        <v>22.0205</v>
      </c>
      <c r="G667" s="8" t="s">
        <v>1528</v>
      </c>
    </row>
    <row r="668" spans="1:7" x14ac:dyDescent="0.35">
      <c r="A668" t="str">
        <f>"22.0206"</f>
        <v>22.0206</v>
      </c>
      <c r="B668" t="s">
        <v>1529</v>
      </c>
      <c r="C668" s="8" t="s">
        <v>1530</v>
      </c>
      <c r="D668" t="s">
        <v>250</v>
      </c>
      <c r="E668" t="s">
        <v>251</v>
      </c>
      <c r="F668" t="str">
        <f>"22.0206"</f>
        <v>22.0206</v>
      </c>
      <c r="G668" s="8" t="s">
        <v>1530</v>
      </c>
    </row>
    <row r="669" spans="1:7" ht="29" x14ac:dyDescent="0.35">
      <c r="A669" t="str">
        <f>"22.0207"</f>
        <v>22.0207</v>
      </c>
      <c r="B669" t="s">
        <v>1531</v>
      </c>
      <c r="C669" s="8" t="s">
        <v>1532</v>
      </c>
      <c r="D669" t="s">
        <v>250</v>
      </c>
      <c r="E669" t="s">
        <v>251</v>
      </c>
      <c r="F669" t="str">
        <f>"22.0207"</f>
        <v>22.0207</v>
      </c>
      <c r="G669" s="8" t="s">
        <v>1532</v>
      </c>
    </row>
    <row r="670" spans="1:7" x14ac:dyDescent="0.35">
      <c r="A670" t="str">
        <f>"22.0208"</f>
        <v>22.0208</v>
      </c>
      <c r="B670" t="s">
        <v>1533</v>
      </c>
      <c r="C670" s="8" t="s">
        <v>1534</v>
      </c>
      <c r="D670" t="s">
        <v>250</v>
      </c>
      <c r="E670" t="s">
        <v>251</v>
      </c>
      <c r="F670" t="str">
        <f>"22.0208"</f>
        <v>22.0208</v>
      </c>
      <c r="G670" s="8" t="s">
        <v>1534</v>
      </c>
    </row>
    <row r="671" spans="1:7" x14ac:dyDescent="0.35">
      <c r="A671" t="str">
        <f>"22.0209"</f>
        <v>22.0209</v>
      </c>
      <c r="B671" t="s">
        <v>1535</v>
      </c>
      <c r="C671" s="8" t="s">
        <v>1536</v>
      </c>
      <c r="D671" t="s">
        <v>250</v>
      </c>
      <c r="E671" t="s">
        <v>251</v>
      </c>
      <c r="F671" t="str">
        <f>"22.0209"</f>
        <v>22.0209</v>
      </c>
      <c r="G671" s="8" t="s">
        <v>1536</v>
      </c>
    </row>
    <row r="672" spans="1:7" ht="29" x14ac:dyDescent="0.35">
      <c r="A672" t="str">
        <f>"22.0210"</f>
        <v>22.0210</v>
      </c>
      <c r="B672" t="s">
        <v>1537</v>
      </c>
      <c r="C672" s="8" t="s">
        <v>1538</v>
      </c>
      <c r="D672" t="s">
        <v>250</v>
      </c>
      <c r="E672" t="s">
        <v>251</v>
      </c>
      <c r="F672" t="str">
        <f>"22.0210"</f>
        <v>22.0210</v>
      </c>
      <c r="G672" s="8" t="s">
        <v>1538</v>
      </c>
    </row>
    <row r="673" spans="1:7" x14ac:dyDescent="0.35">
      <c r="A673" t="str">
        <f>"22.0211"</f>
        <v>22.0211</v>
      </c>
      <c r="B673" t="s">
        <v>1539</v>
      </c>
      <c r="C673" s="8" t="s">
        <v>1540</v>
      </c>
      <c r="D673" t="s">
        <v>250</v>
      </c>
      <c r="E673" t="s">
        <v>251</v>
      </c>
      <c r="F673" t="str">
        <f>"22.0211"</f>
        <v>22.0211</v>
      </c>
      <c r="G673" s="8" t="s">
        <v>1540</v>
      </c>
    </row>
    <row r="674" spans="1:7" x14ac:dyDescent="0.35">
      <c r="A674" t="str">
        <f>"22.0212"</f>
        <v>22.0212</v>
      </c>
      <c r="B674" t="s">
        <v>1541</v>
      </c>
      <c r="C674" s="8" t="s">
        <v>1542</v>
      </c>
      <c r="D674" t="s">
        <v>250</v>
      </c>
      <c r="E674" t="s">
        <v>251</v>
      </c>
      <c r="F674" t="str">
        <f>"22.0212"</f>
        <v>22.0212</v>
      </c>
      <c r="G674" s="8" t="s">
        <v>1542</v>
      </c>
    </row>
    <row r="675" spans="1:7" x14ac:dyDescent="0.35">
      <c r="D675" t="s">
        <v>275</v>
      </c>
      <c r="E675" t="s">
        <v>251</v>
      </c>
      <c r="F675" t="str">
        <f>"22.0213"</f>
        <v>22.0213</v>
      </c>
      <c r="G675" s="8" t="s">
        <v>1543</v>
      </c>
    </row>
    <row r="676" spans="1:7" x14ac:dyDescent="0.35">
      <c r="D676" t="s">
        <v>275</v>
      </c>
      <c r="E676" t="s">
        <v>251</v>
      </c>
      <c r="F676" t="str">
        <f>"22.0214"</f>
        <v>22.0214</v>
      </c>
      <c r="G676" s="8" t="s">
        <v>1544</v>
      </c>
    </row>
    <row r="677" spans="1:7" x14ac:dyDescent="0.35">
      <c r="D677" t="s">
        <v>275</v>
      </c>
      <c r="E677" t="s">
        <v>251</v>
      </c>
      <c r="F677" t="str">
        <f>"22.0215"</f>
        <v>22.0215</v>
      </c>
      <c r="G677" s="8" t="s">
        <v>1545</v>
      </c>
    </row>
    <row r="678" spans="1:7" x14ac:dyDescent="0.35">
      <c r="D678" t="s">
        <v>275</v>
      </c>
      <c r="E678" t="s">
        <v>251</v>
      </c>
      <c r="F678" t="str">
        <f>"22.0216"</f>
        <v>22.0216</v>
      </c>
      <c r="G678" s="8" t="s">
        <v>1546</v>
      </c>
    </row>
    <row r="679" spans="1:7" x14ac:dyDescent="0.35">
      <c r="D679" t="s">
        <v>275</v>
      </c>
      <c r="E679" t="s">
        <v>251</v>
      </c>
      <c r="F679" t="str">
        <f>"22.0217"</f>
        <v>22.0217</v>
      </c>
      <c r="G679" s="8" t="s">
        <v>1547</v>
      </c>
    </row>
    <row r="680" spans="1:7" x14ac:dyDescent="0.35">
      <c r="D680" t="s">
        <v>275</v>
      </c>
      <c r="E680" t="s">
        <v>251</v>
      </c>
      <c r="F680" t="str">
        <f>"22.0218"</f>
        <v>22.0218</v>
      </c>
      <c r="G680" s="8" t="s">
        <v>1548</v>
      </c>
    </row>
    <row r="681" spans="1:7" x14ac:dyDescent="0.35">
      <c r="D681" t="s">
        <v>275</v>
      </c>
      <c r="E681" t="s">
        <v>251</v>
      </c>
      <c r="F681" t="str">
        <f>"22.0219"</f>
        <v>22.0219</v>
      </c>
      <c r="G681" s="8" t="s">
        <v>1549</v>
      </c>
    </row>
    <row r="682" spans="1:7" x14ac:dyDescent="0.35">
      <c r="D682" t="s">
        <v>275</v>
      </c>
      <c r="E682" t="s">
        <v>251</v>
      </c>
      <c r="F682" t="str">
        <f>"22.0220"</f>
        <v>22.0220</v>
      </c>
      <c r="G682" s="8" t="s">
        <v>1550</v>
      </c>
    </row>
    <row r="683" spans="1:7" x14ac:dyDescent="0.35">
      <c r="D683" t="s">
        <v>275</v>
      </c>
      <c r="E683" t="s">
        <v>251</v>
      </c>
      <c r="F683" t="str">
        <f>"22.0221"</f>
        <v>22.0221</v>
      </c>
      <c r="G683" s="8" t="s">
        <v>1551</v>
      </c>
    </row>
    <row r="684" spans="1:7" x14ac:dyDescent="0.35">
      <c r="D684" t="s">
        <v>275</v>
      </c>
      <c r="E684" t="s">
        <v>251</v>
      </c>
      <c r="F684" t="str">
        <f>"22.0222"</f>
        <v>22.0222</v>
      </c>
      <c r="G684" s="8" t="s">
        <v>1552</v>
      </c>
    </row>
    <row r="685" spans="1:7" x14ac:dyDescent="0.35">
      <c r="D685" t="s">
        <v>275</v>
      </c>
      <c r="E685" t="s">
        <v>251</v>
      </c>
      <c r="F685" t="str">
        <f>"22.0223"</f>
        <v>22.0223</v>
      </c>
      <c r="G685" s="8" t="s">
        <v>1553</v>
      </c>
    </row>
    <row r="686" spans="1:7" x14ac:dyDescent="0.35">
      <c r="D686" t="s">
        <v>275</v>
      </c>
      <c r="E686" t="s">
        <v>251</v>
      </c>
      <c r="F686" t="str">
        <f>"22.0224"</f>
        <v>22.0224</v>
      </c>
      <c r="G686" s="8" t="s">
        <v>1554</v>
      </c>
    </row>
    <row r="687" spans="1:7" ht="29" x14ac:dyDescent="0.35">
      <c r="A687" t="str">
        <f>"22.0299"</f>
        <v>22.0299</v>
      </c>
      <c r="B687" t="s">
        <v>1555</v>
      </c>
      <c r="C687" s="8" t="s">
        <v>1556</v>
      </c>
      <c r="D687" t="s">
        <v>250</v>
      </c>
      <c r="E687" t="s">
        <v>251</v>
      </c>
      <c r="F687" t="str">
        <f>"22.0299"</f>
        <v>22.0299</v>
      </c>
      <c r="G687" s="8" t="s">
        <v>1556</v>
      </c>
    </row>
    <row r="688" spans="1:7" x14ac:dyDescent="0.35">
      <c r="A688" t="str">
        <f>"22.0301"</f>
        <v>22.0301</v>
      </c>
      <c r="B688" t="s">
        <v>1557</v>
      </c>
      <c r="C688" s="8" t="s">
        <v>1558</v>
      </c>
      <c r="D688" t="s">
        <v>250</v>
      </c>
      <c r="E688" t="s">
        <v>251</v>
      </c>
      <c r="F688" t="str">
        <f>"22.0301"</f>
        <v>22.0301</v>
      </c>
      <c r="G688" s="8" t="s">
        <v>1558</v>
      </c>
    </row>
    <row r="689" spans="1:7" x14ac:dyDescent="0.35">
      <c r="A689" t="str">
        <f>"22.0302"</f>
        <v>22.0302</v>
      </c>
      <c r="B689" t="s">
        <v>1559</v>
      </c>
      <c r="C689" s="8" t="s">
        <v>1560</v>
      </c>
      <c r="D689" t="s">
        <v>250</v>
      </c>
      <c r="E689" t="s">
        <v>251</v>
      </c>
      <c r="F689" t="str">
        <f>"22.0302"</f>
        <v>22.0302</v>
      </c>
      <c r="G689" s="8" t="s">
        <v>1560</v>
      </c>
    </row>
    <row r="690" spans="1:7" x14ac:dyDescent="0.35">
      <c r="A690" t="str">
        <f>"22.0303"</f>
        <v>22.0303</v>
      </c>
      <c r="B690" t="s">
        <v>1561</v>
      </c>
      <c r="C690" s="8" t="s">
        <v>1562</v>
      </c>
      <c r="D690" t="s">
        <v>250</v>
      </c>
      <c r="E690" t="s">
        <v>264</v>
      </c>
      <c r="F690" t="str">
        <f>"22.0303"</f>
        <v>22.0303</v>
      </c>
      <c r="G690" s="8" t="s">
        <v>1563</v>
      </c>
    </row>
    <row r="691" spans="1:7" x14ac:dyDescent="0.35">
      <c r="D691" t="s">
        <v>275</v>
      </c>
      <c r="E691" t="s">
        <v>251</v>
      </c>
      <c r="F691" t="str">
        <f>"22.0304"</f>
        <v>22.0304</v>
      </c>
      <c r="G691" s="8" t="s">
        <v>1564</v>
      </c>
    </row>
    <row r="692" spans="1:7" x14ac:dyDescent="0.35">
      <c r="D692" t="s">
        <v>275</v>
      </c>
      <c r="E692" t="s">
        <v>251</v>
      </c>
      <c r="F692" t="str">
        <f>"22.0305"</f>
        <v>22.0305</v>
      </c>
      <c r="G692" s="8" t="s">
        <v>1565</v>
      </c>
    </row>
    <row r="693" spans="1:7" x14ac:dyDescent="0.35">
      <c r="A693" t="str">
        <f>"22.0399"</f>
        <v>22.0399</v>
      </c>
      <c r="B693" t="s">
        <v>1566</v>
      </c>
      <c r="C693" s="8" t="s">
        <v>1567</v>
      </c>
      <c r="D693" t="s">
        <v>250</v>
      </c>
      <c r="E693" t="s">
        <v>251</v>
      </c>
      <c r="F693" t="str">
        <f>"22.0399"</f>
        <v>22.0399</v>
      </c>
      <c r="G693" s="8" t="s">
        <v>1567</v>
      </c>
    </row>
    <row r="694" spans="1:7" x14ac:dyDescent="0.35">
      <c r="A694" t="str">
        <f>"22.9999"</f>
        <v>22.9999</v>
      </c>
      <c r="B694" t="s">
        <v>1568</v>
      </c>
      <c r="C694" s="8" t="s">
        <v>1569</v>
      </c>
      <c r="D694" t="s">
        <v>250</v>
      </c>
      <c r="E694" t="s">
        <v>251</v>
      </c>
      <c r="F694" t="str">
        <f>"22.9999"</f>
        <v>22.9999</v>
      </c>
      <c r="G694" s="8" t="s">
        <v>1569</v>
      </c>
    </row>
    <row r="695" spans="1:7" x14ac:dyDescent="0.35">
      <c r="A695" t="str">
        <f>"23.0101"</f>
        <v>23.0101</v>
      </c>
      <c r="B695" t="s">
        <v>1570</v>
      </c>
      <c r="C695" s="8" t="s">
        <v>1571</v>
      </c>
      <c r="D695" t="s">
        <v>250</v>
      </c>
      <c r="E695" t="s">
        <v>251</v>
      </c>
      <c r="F695" t="str">
        <f>"23.0101"</f>
        <v>23.0101</v>
      </c>
      <c r="G695" s="8" t="s">
        <v>1571</v>
      </c>
    </row>
    <row r="696" spans="1:7" x14ac:dyDescent="0.35">
      <c r="A696" t="str">
        <f>"23.1301"</f>
        <v>23.1301</v>
      </c>
      <c r="B696" t="s">
        <v>1572</v>
      </c>
      <c r="C696" s="8" t="s">
        <v>1573</v>
      </c>
      <c r="D696" t="s">
        <v>250</v>
      </c>
      <c r="E696" t="s">
        <v>251</v>
      </c>
      <c r="F696" t="str">
        <f>"23.1301"</f>
        <v>23.1301</v>
      </c>
      <c r="G696" s="8" t="s">
        <v>1573</v>
      </c>
    </row>
    <row r="697" spans="1:7" x14ac:dyDescent="0.35">
      <c r="A697" t="str">
        <f>"23.1302"</f>
        <v>23.1302</v>
      </c>
      <c r="B697" t="s">
        <v>1574</v>
      </c>
      <c r="C697" s="8" t="s">
        <v>1575</v>
      </c>
      <c r="D697" t="s">
        <v>250</v>
      </c>
      <c r="E697" t="s">
        <v>251</v>
      </c>
      <c r="F697" t="str">
        <f>"23.1302"</f>
        <v>23.1302</v>
      </c>
      <c r="G697" s="8" t="s">
        <v>1575</v>
      </c>
    </row>
    <row r="698" spans="1:7" ht="29" x14ac:dyDescent="0.35">
      <c r="A698" t="str">
        <f>"23.1303"</f>
        <v>23.1303</v>
      </c>
      <c r="B698" t="s">
        <v>1576</v>
      </c>
      <c r="C698" s="8" t="s">
        <v>1577</v>
      </c>
      <c r="D698" t="s">
        <v>250</v>
      </c>
      <c r="E698" t="s">
        <v>251</v>
      </c>
      <c r="F698" t="str">
        <f>"23.1303"</f>
        <v>23.1303</v>
      </c>
      <c r="G698" s="8" t="s">
        <v>1577</v>
      </c>
    </row>
    <row r="699" spans="1:7" x14ac:dyDescent="0.35">
      <c r="A699" t="str">
        <f>"23.1304"</f>
        <v>23.1304</v>
      </c>
      <c r="B699" t="s">
        <v>1578</v>
      </c>
      <c r="C699" s="8" t="s">
        <v>1579</v>
      </c>
      <c r="D699" t="s">
        <v>250</v>
      </c>
      <c r="E699" t="s">
        <v>251</v>
      </c>
      <c r="F699" t="str">
        <f>"23.1304"</f>
        <v>23.1304</v>
      </c>
      <c r="G699" s="8" t="s">
        <v>1579</v>
      </c>
    </row>
    <row r="700" spans="1:7" ht="29" x14ac:dyDescent="0.35">
      <c r="A700" t="str">
        <f>"23.1399"</f>
        <v>23.1399</v>
      </c>
      <c r="B700" t="s">
        <v>1580</v>
      </c>
      <c r="C700" s="8" t="s">
        <v>1581</v>
      </c>
      <c r="D700" t="s">
        <v>250</v>
      </c>
      <c r="E700" t="s">
        <v>251</v>
      </c>
      <c r="F700" t="str">
        <f>"23.1399"</f>
        <v>23.1399</v>
      </c>
      <c r="G700" s="8" t="s">
        <v>1581</v>
      </c>
    </row>
    <row r="701" spans="1:7" x14ac:dyDescent="0.35">
      <c r="A701" t="str">
        <f>"23.1401"</f>
        <v>23.1401</v>
      </c>
      <c r="B701" t="s">
        <v>1582</v>
      </c>
      <c r="C701" s="8" t="s">
        <v>1583</v>
      </c>
      <c r="D701" t="s">
        <v>250</v>
      </c>
      <c r="E701" t="s">
        <v>251</v>
      </c>
      <c r="F701" t="str">
        <f>"23.1401"</f>
        <v>23.1401</v>
      </c>
      <c r="G701" s="8" t="s">
        <v>1583</v>
      </c>
    </row>
    <row r="702" spans="1:7" x14ac:dyDescent="0.35">
      <c r="A702" t="str">
        <f>"23.1402"</f>
        <v>23.1402</v>
      </c>
      <c r="B702" t="s">
        <v>1584</v>
      </c>
      <c r="C702" s="8" t="s">
        <v>1585</v>
      </c>
      <c r="D702" t="s">
        <v>250</v>
      </c>
      <c r="E702" t="s">
        <v>251</v>
      </c>
      <c r="F702" t="str">
        <f>"23.1402"</f>
        <v>23.1402</v>
      </c>
      <c r="G702" s="8" t="s">
        <v>1585</v>
      </c>
    </row>
    <row r="703" spans="1:7" x14ac:dyDescent="0.35">
      <c r="A703" t="str">
        <f>"23.1403"</f>
        <v>23.1403</v>
      </c>
      <c r="B703" t="s">
        <v>1586</v>
      </c>
      <c r="C703" s="8" t="s">
        <v>1587</v>
      </c>
      <c r="D703" t="s">
        <v>250</v>
      </c>
      <c r="E703" t="s">
        <v>251</v>
      </c>
      <c r="F703" t="str">
        <f>"23.1403"</f>
        <v>23.1403</v>
      </c>
      <c r="G703" s="8" t="s">
        <v>1587</v>
      </c>
    </row>
    <row r="704" spans="1:7" ht="29" x14ac:dyDescent="0.35">
      <c r="A704" t="str">
        <f>"23.1404"</f>
        <v>23.1404</v>
      </c>
      <c r="B704" t="s">
        <v>1588</v>
      </c>
      <c r="C704" s="8" t="s">
        <v>1589</v>
      </c>
      <c r="D704" t="s">
        <v>250</v>
      </c>
      <c r="E704" t="s">
        <v>251</v>
      </c>
      <c r="F704" t="str">
        <f>"23.1404"</f>
        <v>23.1404</v>
      </c>
      <c r="G704" s="8" t="s">
        <v>1589</v>
      </c>
    </row>
    <row r="705" spans="1:7" x14ac:dyDescent="0.35">
      <c r="A705" t="str">
        <f>"23.1405"</f>
        <v>23.1405</v>
      </c>
      <c r="B705" t="s">
        <v>1590</v>
      </c>
      <c r="C705" s="8" t="s">
        <v>1591</v>
      </c>
      <c r="D705" t="s">
        <v>250</v>
      </c>
      <c r="E705" t="s">
        <v>251</v>
      </c>
      <c r="F705" t="str">
        <f>"23.1405"</f>
        <v>23.1405</v>
      </c>
      <c r="G705" s="8" t="s">
        <v>1591</v>
      </c>
    </row>
    <row r="706" spans="1:7" x14ac:dyDescent="0.35">
      <c r="A706" t="str">
        <f>"23.1499"</f>
        <v>23.1499</v>
      </c>
      <c r="B706" t="s">
        <v>1592</v>
      </c>
      <c r="C706" s="8" t="s">
        <v>1593</v>
      </c>
      <c r="D706" t="s">
        <v>250</v>
      </c>
      <c r="E706" t="s">
        <v>251</v>
      </c>
      <c r="F706" t="str">
        <f>"23.1499"</f>
        <v>23.1499</v>
      </c>
      <c r="G706" s="8" t="s">
        <v>1593</v>
      </c>
    </row>
    <row r="707" spans="1:7" ht="29" x14ac:dyDescent="0.35">
      <c r="A707" t="str">
        <f>"23.9999"</f>
        <v>23.9999</v>
      </c>
      <c r="B707" t="s">
        <v>1594</v>
      </c>
      <c r="C707" s="8" t="s">
        <v>1595</v>
      </c>
      <c r="D707" t="s">
        <v>250</v>
      </c>
      <c r="E707" t="s">
        <v>251</v>
      </c>
      <c r="F707" t="str">
        <f>"23.9999"</f>
        <v>23.9999</v>
      </c>
      <c r="G707" s="8" t="s">
        <v>1595</v>
      </c>
    </row>
    <row r="708" spans="1:7" x14ac:dyDescent="0.35">
      <c r="A708" t="str">
        <f>"24.0101"</f>
        <v>24.0101</v>
      </c>
      <c r="B708" t="s">
        <v>1596</v>
      </c>
      <c r="C708" s="8" t="s">
        <v>1597</v>
      </c>
      <c r="D708" t="s">
        <v>250</v>
      </c>
      <c r="E708" t="s">
        <v>251</v>
      </c>
      <c r="F708" t="str">
        <f>"24.0101"</f>
        <v>24.0101</v>
      </c>
      <c r="G708" s="8" t="s">
        <v>1597</v>
      </c>
    </row>
    <row r="709" spans="1:7" x14ac:dyDescent="0.35">
      <c r="A709" t="str">
        <f>"24.0102"</f>
        <v>24.0102</v>
      </c>
      <c r="B709" t="s">
        <v>1598</v>
      </c>
      <c r="C709" s="8" t="s">
        <v>1599</v>
      </c>
      <c r="D709" t="s">
        <v>250</v>
      </c>
      <c r="E709" t="s">
        <v>251</v>
      </c>
      <c r="F709" t="str">
        <f>"24.0102"</f>
        <v>24.0102</v>
      </c>
      <c r="G709" s="8" t="s">
        <v>1599</v>
      </c>
    </row>
    <row r="710" spans="1:7" x14ac:dyDescent="0.35">
      <c r="A710" t="str">
        <f>"24.0103"</f>
        <v>24.0103</v>
      </c>
      <c r="B710" t="s">
        <v>1600</v>
      </c>
      <c r="C710" s="8" t="s">
        <v>1601</v>
      </c>
      <c r="D710" t="s">
        <v>250</v>
      </c>
      <c r="E710" t="s">
        <v>251</v>
      </c>
      <c r="F710" t="str">
        <f>"24.0103"</f>
        <v>24.0103</v>
      </c>
      <c r="G710" s="8" t="s">
        <v>1601</v>
      </c>
    </row>
    <row r="711" spans="1:7" ht="29" x14ac:dyDescent="0.35">
      <c r="A711" t="str">
        <f>"24.0199"</f>
        <v>24.0199</v>
      </c>
      <c r="B711" t="s">
        <v>1602</v>
      </c>
      <c r="C711" s="8" t="s">
        <v>1603</v>
      </c>
      <c r="D711" t="s">
        <v>250</v>
      </c>
      <c r="E711" t="s">
        <v>251</v>
      </c>
      <c r="F711" t="str">
        <f>"24.0199"</f>
        <v>24.0199</v>
      </c>
      <c r="G711" s="8" t="s">
        <v>1603</v>
      </c>
    </row>
    <row r="712" spans="1:7" x14ac:dyDescent="0.35">
      <c r="A712" t="str">
        <f>"25.0101"</f>
        <v>25.0101</v>
      </c>
      <c r="B712" t="s">
        <v>1604</v>
      </c>
      <c r="C712" s="8" t="s">
        <v>1605</v>
      </c>
      <c r="D712" t="s">
        <v>250</v>
      </c>
      <c r="E712" t="s">
        <v>251</v>
      </c>
      <c r="F712" t="str">
        <f>"25.0101"</f>
        <v>25.0101</v>
      </c>
      <c r="G712" s="8" t="s">
        <v>1605</v>
      </c>
    </row>
    <row r="713" spans="1:7" x14ac:dyDescent="0.35">
      <c r="A713" t="str">
        <f>"25.0102"</f>
        <v>25.0102</v>
      </c>
      <c r="B713" t="s">
        <v>1606</v>
      </c>
      <c r="C713" s="8" t="s">
        <v>1607</v>
      </c>
      <c r="D713" t="s">
        <v>250</v>
      </c>
      <c r="E713" t="s">
        <v>251</v>
      </c>
      <c r="F713" t="str">
        <f>"25.0102"</f>
        <v>25.0102</v>
      </c>
      <c r="G713" s="8" t="s">
        <v>1607</v>
      </c>
    </row>
    <row r="714" spans="1:7" x14ac:dyDescent="0.35">
      <c r="A714" t="str">
        <f>"25.0103"</f>
        <v>25.0103</v>
      </c>
      <c r="B714" t="s">
        <v>1608</v>
      </c>
      <c r="C714" s="8" t="s">
        <v>1609</v>
      </c>
      <c r="D714" t="s">
        <v>250</v>
      </c>
      <c r="E714" t="s">
        <v>251</v>
      </c>
      <c r="F714" t="str">
        <f>"25.0103"</f>
        <v>25.0103</v>
      </c>
      <c r="G714" s="8" t="s">
        <v>1609</v>
      </c>
    </row>
    <row r="715" spans="1:7" x14ac:dyDescent="0.35">
      <c r="A715" t="str">
        <f>"25.0199"</f>
        <v>25.0199</v>
      </c>
      <c r="B715" t="s">
        <v>1610</v>
      </c>
      <c r="C715" s="8" t="s">
        <v>1611</v>
      </c>
      <c r="D715" t="s">
        <v>250</v>
      </c>
      <c r="E715" t="s">
        <v>251</v>
      </c>
      <c r="F715" t="str">
        <f>"25.0199"</f>
        <v>25.0199</v>
      </c>
      <c r="G715" s="8" t="s">
        <v>1611</v>
      </c>
    </row>
    <row r="716" spans="1:7" x14ac:dyDescent="0.35">
      <c r="A716" t="str">
        <f>"25.0301"</f>
        <v>25.0301</v>
      </c>
      <c r="B716" t="s">
        <v>1612</v>
      </c>
      <c r="C716" s="8" t="s">
        <v>1613</v>
      </c>
      <c r="D716" t="s">
        <v>250</v>
      </c>
      <c r="E716" t="s">
        <v>251</v>
      </c>
      <c r="F716" t="str">
        <f>"25.0301"</f>
        <v>25.0301</v>
      </c>
      <c r="G716" s="8" t="s">
        <v>1613</v>
      </c>
    </row>
    <row r="717" spans="1:7" x14ac:dyDescent="0.35">
      <c r="A717" t="str">
        <f>"25.9999"</f>
        <v>25.9999</v>
      </c>
      <c r="B717" t="s">
        <v>1614</v>
      </c>
      <c r="C717" s="8" t="s">
        <v>1615</v>
      </c>
      <c r="D717" t="s">
        <v>250</v>
      </c>
      <c r="E717" t="s">
        <v>251</v>
      </c>
      <c r="F717" t="str">
        <f>"25.9999"</f>
        <v>25.9999</v>
      </c>
      <c r="G717" s="8" t="s">
        <v>1615</v>
      </c>
    </row>
    <row r="718" spans="1:7" x14ac:dyDescent="0.35">
      <c r="A718" t="str">
        <f>"26.0101"</f>
        <v>26.0101</v>
      </c>
      <c r="B718" t="s">
        <v>1616</v>
      </c>
      <c r="C718" s="8" t="s">
        <v>1617</v>
      </c>
      <c r="D718" t="s">
        <v>250</v>
      </c>
      <c r="E718" t="s">
        <v>251</v>
      </c>
      <c r="F718" t="str">
        <f>"26.0101"</f>
        <v>26.0101</v>
      </c>
      <c r="G718" s="8" t="s">
        <v>1617</v>
      </c>
    </row>
    <row r="719" spans="1:7" x14ac:dyDescent="0.35">
      <c r="A719" t="str">
        <f>"26.0102"</f>
        <v>26.0102</v>
      </c>
      <c r="B719" t="s">
        <v>1618</v>
      </c>
      <c r="C719" s="8" t="s">
        <v>1619</v>
      </c>
      <c r="D719" t="s">
        <v>250</v>
      </c>
      <c r="E719" t="s">
        <v>251</v>
      </c>
      <c r="F719" t="str">
        <f>"26.0102"</f>
        <v>26.0102</v>
      </c>
      <c r="G719" s="8" t="s">
        <v>1619</v>
      </c>
    </row>
    <row r="720" spans="1:7" x14ac:dyDescent="0.35">
      <c r="A720" t="str">
        <f>"26.0202"</f>
        <v>26.0202</v>
      </c>
      <c r="B720" t="s">
        <v>1620</v>
      </c>
      <c r="C720" s="8" t="s">
        <v>1621</v>
      </c>
      <c r="D720" t="s">
        <v>250</v>
      </c>
      <c r="E720" t="s">
        <v>251</v>
      </c>
      <c r="F720" t="str">
        <f>"26.0202"</f>
        <v>26.0202</v>
      </c>
      <c r="G720" s="8" t="s">
        <v>1621</v>
      </c>
    </row>
    <row r="721" spans="1:7" x14ac:dyDescent="0.35">
      <c r="A721" t="str">
        <f>"26.0203"</f>
        <v>26.0203</v>
      </c>
      <c r="B721" t="s">
        <v>1622</v>
      </c>
      <c r="C721" s="8" t="s">
        <v>1623</v>
      </c>
      <c r="D721" t="s">
        <v>250</v>
      </c>
      <c r="E721" t="s">
        <v>251</v>
      </c>
      <c r="F721" t="str">
        <f>"26.0203"</f>
        <v>26.0203</v>
      </c>
      <c r="G721" s="8" t="s">
        <v>1623</v>
      </c>
    </row>
    <row r="722" spans="1:7" x14ac:dyDescent="0.35">
      <c r="A722" t="str">
        <f>"26.0204"</f>
        <v>26.0204</v>
      </c>
      <c r="B722" t="s">
        <v>1624</v>
      </c>
      <c r="C722" s="8" t="s">
        <v>1625</v>
      </c>
      <c r="D722" t="s">
        <v>250</v>
      </c>
      <c r="E722" t="s">
        <v>251</v>
      </c>
      <c r="F722" t="str">
        <f>"26.0204"</f>
        <v>26.0204</v>
      </c>
      <c r="G722" s="8" t="s">
        <v>1625</v>
      </c>
    </row>
    <row r="723" spans="1:7" x14ac:dyDescent="0.35">
      <c r="A723" t="str">
        <f>"26.0205"</f>
        <v>26.0205</v>
      </c>
      <c r="B723" t="s">
        <v>1626</v>
      </c>
      <c r="C723" s="8" t="s">
        <v>1627</v>
      </c>
      <c r="D723" t="s">
        <v>250</v>
      </c>
      <c r="E723" t="s">
        <v>251</v>
      </c>
      <c r="F723" t="str">
        <f>"26.0205"</f>
        <v>26.0205</v>
      </c>
      <c r="G723" s="8" t="s">
        <v>1627</v>
      </c>
    </row>
    <row r="724" spans="1:7" x14ac:dyDescent="0.35">
      <c r="A724" t="str">
        <f>"26.0206"</f>
        <v>26.0206</v>
      </c>
      <c r="B724" t="s">
        <v>1628</v>
      </c>
      <c r="C724" s="8" t="s">
        <v>1629</v>
      </c>
      <c r="D724" t="s">
        <v>250</v>
      </c>
      <c r="E724" t="s">
        <v>251</v>
      </c>
      <c r="F724" t="str">
        <f>"26.0206"</f>
        <v>26.0206</v>
      </c>
      <c r="G724" s="8" t="s">
        <v>1629</v>
      </c>
    </row>
    <row r="725" spans="1:7" x14ac:dyDescent="0.35">
      <c r="A725" t="str">
        <f>"26.0207"</f>
        <v>26.0207</v>
      </c>
      <c r="B725" t="s">
        <v>1630</v>
      </c>
      <c r="C725" s="8" t="s">
        <v>1631</v>
      </c>
      <c r="D725" t="s">
        <v>250</v>
      </c>
      <c r="E725" t="s">
        <v>251</v>
      </c>
      <c r="F725" t="str">
        <f>"26.0207"</f>
        <v>26.0207</v>
      </c>
      <c r="G725" s="8" t="s">
        <v>1631</v>
      </c>
    </row>
    <row r="726" spans="1:7" x14ac:dyDescent="0.35">
      <c r="A726" t="str">
        <f>"26.0208"</f>
        <v>26.0208</v>
      </c>
      <c r="B726" t="s">
        <v>1632</v>
      </c>
      <c r="C726" s="8" t="s">
        <v>1633</v>
      </c>
      <c r="D726" t="s">
        <v>250</v>
      </c>
      <c r="E726" t="s">
        <v>251</v>
      </c>
      <c r="F726" t="str">
        <f>"26.0208"</f>
        <v>26.0208</v>
      </c>
      <c r="G726" s="8" t="s">
        <v>1633</v>
      </c>
    </row>
    <row r="727" spans="1:7" x14ac:dyDescent="0.35">
      <c r="A727" t="str">
        <f>"26.0209"</f>
        <v>26.0209</v>
      </c>
      <c r="B727" t="s">
        <v>1634</v>
      </c>
      <c r="C727" s="8" t="s">
        <v>1635</v>
      </c>
      <c r="D727" t="s">
        <v>250</v>
      </c>
      <c r="E727" t="s">
        <v>251</v>
      </c>
      <c r="F727" t="str">
        <f>"26.0209"</f>
        <v>26.0209</v>
      </c>
      <c r="G727" s="8" t="s">
        <v>1635</v>
      </c>
    </row>
    <row r="728" spans="1:7" x14ac:dyDescent="0.35">
      <c r="A728" t="str">
        <f>"26.0210"</f>
        <v>26.0210</v>
      </c>
      <c r="B728" t="s">
        <v>1636</v>
      </c>
      <c r="C728" s="8" t="s">
        <v>1637</v>
      </c>
      <c r="D728" t="s">
        <v>250</v>
      </c>
      <c r="E728" t="s">
        <v>251</v>
      </c>
      <c r="F728" t="str">
        <f>"26.0210"</f>
        <v>26.0210</v>
      </c>
      <c r="G728" s="8" t="s">
        <v>1637</v>
      </c>
    </row>
    <row r="729" spans="1:7" ht="29" x14ac:dyDescent="0.35">
      <c r="A729" t="str">
        <f>"26.0299"</f>
        <v>26.0299</v>
      </c>
      <c r="B729" t="s">
        <v>1638</v>
      </c>
      <c r="C729" s="8" t="s">
        <v>1639</v>
      </c>
      <c r="D729" t="s">
        <v>250</v>
      </c>
      <c r="E729" t="s">
        <v>251</v>
      </c>
      <c r="F729" t="str">
        <f>"26.0299"</f>
        <v>26.0299</v>
      </c>
      <c r="G729" s="8" t="s">
        <v>1639</v>
      </c>
    </row>
    <row r="730" spans="1:7" x14ac:dyDescent="0.35">
      <c r="A730" t="str">
        <f>"26.0301"</f>
        <v>26.0301</v>
      </c>
      <c r="B730" t="s">
        <v>1640</v>
      </c>
      <c r="C730" s="8" t="s">
        <v>1641</v>
      </c>
      <c r="D730" t="s">
        <v>250</v>
      </c>
      <c r="E730" t="s">
        <v>251</v>
      </c>
      <c r="F730" t="str">
        <f>"26.0301"</f>
        <v>26.0301</v>
      </c>
      <c r="G730" s="8" t="s">
        <v>1641</v>
      </c>
    </row>
    <row r="731" spans="1:7" x14ac:dyDescent="0.35">
      <c r="A731" t="str">
        <f>"26.0305"</f>
        <v>26.0305</v>
      </c>
      <c r="B731" t="s">
        <v>1642</v>
      </c>
      <c r="C731" s="8" t="s">
        <v>1643</v>
      </c>
      <c r="D731" t="s">
        <v>250</v>
      </c>
      <c r="E731" t="s">
        <v>251</v>
      </c>
      <c r="F731" t="str">
        <f>"26.0305"</f>
        <v>26.0305</v>
      </c>
      <c r="G731" s="8" t="s">
        <v>1643</v>
      </c>
    </row>
    <row r="732" spans="1:7" x14ac:dyDescent="0.35">
      <c r="A732" t="str">
        <f>"26.0307"</f>
        <v>26.0307</v>
      </c>
      <c r="B732" t="s">
        <v>1644</v>
      </c>
      <c r="C732" s="8" t="s">
        <v>1645</v>
      </c>
      <c r="D732" t="s">
        <v>250</v>
      </c>
      <c r="E732" t="s">
        <v>251</v>
      </c>
      <c r="F732" t="str">
        <f>"26.0307"</f>
        <v>26.0307</v>
      </c>
      <c r="G732" s="8" t="s">
        <v>1645</v>
      </c>
    </row>
    <row r="733" spans="1:7" x14ac:dyDescent="0.35">
      <c r="A733" t="str">
        <f>"26.0308"</f>
        <v>26.0308</v>
      </c>
      <c r="B733" t="s">
        <v>1646</v>
      </c>
      <c r="C733" s="8" t="s">
        <v>1647</v>
      </c>
      <c r="D733" t="s">
        <v>250</v>
      </c>
      <c r="E733" t="s">
        <v>251</v>
      </c>
      <c r="F733" t="str">
        <f>"26.0308"</f>
        <v>26.0308</v>
      </c>
      <c r="G733" s="8" t="s">
        <v>1647</v>
      </c>
    </row>
    <row r="734" spans="1:7" x14ac:dyDescent="0.35">
      <c r="A734" t="str">
        <f>"26.0399"</f>
        <v>26.0399</v>
      </c>
      <c r="B734" t="s">
        <v>1648</v>
      </c>
      <c r="C734" s="8" t="s">
        <v>1649</v>
      </c>
      <c r="D734" t="s">
        <v>250</v>
      </c>
      <c r="E734" t="s">
        <v>251</v>
      </c>
      <c r="F734" t="str">
        <f>"26.0399"</f>
        <v>26.0399</v>
      </c>
      <c r="G734" s="8" t="s">
        <v>1649</v>
      </c>
    </row>
    <row r="735" spans="1:7" x14ac:dyDescent="0.35">
      <c r="A735" t="str">
        <f>"26.0401"</f>
        <v>26.0401</v>
      </c>
      <c r="B735" t="s">
        <v>1650</v>
      </c>
      <c r="C735" s="8" t="s">
        <v>1651</v>
      </c>
      <c r="D735" t="s">
        <v>250</v>
      </c>
      <c r="E735" t="s">
        <v>251</v>
      </c>
      <c r="F735" t="str">
        <f>"26.0401"</f>
        <v>26.0401</v>
      </c>
      <c r="G735" s="8" t="s">
        <v>1651</v>
      </c>
    </row>
    <row r="736" spans="1:7" x14ac:dyDescent="0.35">
      <c r="A736" t="str">
        <f>"26.0403"</f>
        <v>26.0403</v>
      </c>
      <c r="B736" t="s">
        <v>1652</v>
      </c>
      <c r="C736" s="8" t="s">
        <v>1653</v>
      </c>
      <c r="D736" t="s">
        <v>250</v>
      </c>
      <c r="E736" t="s">
        <v>251</v>
      </c>
      <c r="F736" t="str">
        <f>"26.0403"</f>
        <v>26.0403</v>
      </c>
      <c r="G736" s="8" t="s">
        <v>1653</v>
      </c>
    </row>
    <row r="737" spans="1:7" x14ac:dyDescent="0.35">
      <c r="A737" t="str">
        <f>"26.0404"</f>
        <v>26.0404</v>
      </c>
      <c r="B737" t="s">
        <v>1654</v>
      </c>
      <c r="C737" s="8" t="s">
        <v>1655</v>
      </c>
      <c r="D737" t="s">
        <v>250</v>
      </c>
      <c r="E737" t="s">
        <v>251</v>
      </c>
      <c r="F737" t="str">
        <f>"26.0404"</f>
        <v>26.0404</v>
      </c>
      <c r="G737" s="8" t="s">
        <v>1655</v>
      </c>
    </row>
    <row r="738" spans="1:7" x14ac:dyDescent="0.35">
      <c r="A738" t="str">
        <f>"26.0406"</f>
        <v>26.0406</v>
      </c>
      <c r="B738" t="s">
        <v>1656</v>
      </c>
      <c r="C738" s="8" t="s">
        <v>1657</v>
      </c>
      <c r="D738" t="s">
        <v>250</v>
      </c>
      <c r="E738" t="s">
        <v>251</v>
      </c>
      <c r="F738" t="str">
        <f>"26.0406"</f>
        <v>26.0406</v>
      </c>
      <c r="G738" s="8" t="s">
        <v>1657</v>
      </c>
    </row>
    <row r="739" spans="1:7" x14ac:dyDescent="0.35">
      <c r="A739" t="str">
        <f>"26.0407"</f>
        <v>26.0407</v>
      </c>
      <c r="B739" t="s">
        <v>1658</v>
      </c>
      <c r="C739" s="8" t="s">
        <v>1659</v>
      </c>
      <c r="D739" t="s">
        <v>250</v>
      </c>
      <c r="E739" t="s">
        <v>251</v>
      </c>
      <c r="F739" t="str">
        <f>"26.0407"</f>
        <v>26.0407</v>
      </c>
      <c r="G739" s="8" t="s">
        <v>1659</v>
      </c>
    </row>
    <row r="740" spans="1:7" ht="29" x14ac:dyDescent="0.35">
      <c r="A740" t="str">
        <f>"26.0499"</f>
        <v>26.0499</v>
      </c>
      <c r="B740" t="s">
        <v>1660</v>
      </c>
      <c r="C740" s="8" t="s">
        <v>1661</v>
      </c>
      <c r="D740" t="s">
        <v>250</v>
      </c>
      <c r="E740" t="s">
        <v>251</v>
      </c>
      <c r="F740" t="str">
        <f>"26.0499"</f>
        <v>26.0499</v>
      </c>
      <c r="G740" s="8" t="s">
        <v>1661</v>
      </c>
    </row>
    <row r="741" spans="1:7" x14ac:dyDescent="0.35">
      <c r="A741" t="str">
        <f>"26.0502"</f>
        <v>26.0502</v>
      </c>
      <c r="B741" t="s">
        <v>1662</v>
      </c>
      <c r="C741" s="8" t="s">
        <v>1663</v>
      </c>
      <c r="D741" t="s">
        <v>250</v>
      </c>
      <c r="E741" t="s">
        <v>251</v>
      </c>
      <c r="F741" t="str">
        <f>"26.0502"</f>
        <v>26.0502</v>
      </c>
      <c r="G741" s="8" t="s">
        <v>1663</v>
      </c>
    </row>
    <row r="742" spans="1:7" x14ac:dyDescent="0.35">
      <c r="A742" t="str">
        <f>"26.0503"</f>
        <v>26.0503</v>
      </c>
      <c r="B742" t="s">
        <v>1664</v>
      </c>
      <c r="C742" s="8" t="s">
        <v>1665</v>
      </c>
      <c r="D742" t="s">
        <v>250</v>
      </c>
      <c r="E742" t="s">
        <v>251</v>
      </c>
      <c r="F742" t="str">
        <f>"26.0503"</f>
        <v>26.0503</v>
      </c>
      <c r="G742" s="8" t="s">
        <v>1665</v>
      </c>
    </row>
    <row r="743" spans="1:7" x14ac:dyDescent="0.35">
      <c r="A743" t="str">
        <f>"26.0504"</f>
        <v>26.0504</v>
      </c>
      <c r="B743" t="s">
        <v>1666</v>
      </c>
      <c r="C743" s="8" t="s">
        <v>1667</v>
      </c>
      <c r="D743" t="s">
        <v>250</v>
      </c>
      <c r="E743" t="s">
        <v>251</v>
      </c>
      <c r="F743" t="str">
        <f>"26.0504"</f>
        <v>26.0504</v>
      </c>
      <c r="G743" s="8" t="s">
        <v>1667</v>
      </c>
    </row>
    <row r="744" spans="1:7" x14ac:dyDescent="0.35">
      <c r="A744" t="str">
        <f>"26.0505"</f>
        <v>26.0505</v>
      </c>
      <c r="B744" t="s">
        <v>1668</v>
      </c>
      <c r="C744" s="8" t="s">
        <v>1669</v>
      </c>
      <c r="D744" t="s">
        <v>250</v>
      </c>
      <c r="E744" t="s">
        <v>251</v>
      </c>
      <c r="F744" t="str">
        <f>"26.0505"</f>
        <v>26.0505</v>
      </c>
      <c r="G744" s="8" t="s">
        <v>1669</v>
      </c>
    </row>
    <row r="745" spans="1:7" x14ac:dyDescent="0.35">
      <c r="A745" t="str">
        <f>"26.0506"</f>
        <v>26.0506</v>
      </c>
      <c r="B745" t="s">
        <v>1670</v>
      </c>
      <c r="C745" s="8" t="s">
        <v>1671</v>
      </c>
      <c r="D745" t="s">
        <v>250</v>
      </c>
      <c r="E745" t="s">
        <v>251</v>
      </c>
      <c r="F745" t="str">
        <f>"26.0506"</f>
        <v>26.0506</v>
      </c>
      <c r="G745" s="8" t="s">
        <v>1671</v>
      </c>
    </row>
    <row r="746" spans="1:7" x14ac:dyDescent="0.35">
      <c r="A746" t="str">
        <f>"26.0507"</f>
        <v>26.0507</v>
      </c>
      <c r="B746" t="s">
        <v>1672</v>
      </c>
      <c r="C746" s="8" t="s">
        <v>1673</v>
      </c>
      <c r="D746" t="s">
        <v>250</v>
      </c>
      <c r="E746" t="s">
        <v>251</v>
      </c>
      <c r="F746" t="str">
        <f>"26.0507"</f>
        <v>26.0507</v>
      </c>
      <c r="G746" s="8" t="s">
        <v>1673</v>
      </c>
    </row>
    <row r="747" spans="1:7" x14ac:dyDescent="0.35">
      <c r="A747" t="str">
        <f>"26.0508"</f>
        <v>26.0508</v>
      </c>
      <c r="B747" t="s">
        <v>1674</v>
      </c>
      <c r="C747" s="8" t="s">
        <v>1675</v>
      </c>
      <c r="D747" t="s">
        <v>250</v>
      </c>
      <c r="E747" t="s">
        <v>251</v>
      </c>
      <c r="F747" t="str">
        <f>"26.0508"</f>
        <v>26.0508</v>
      </c>
      <c r="G747" s="8" t="s">
        <v>1675</v>
      </c>
    </row>
    <row r="748" spans="1:7" x14ac:dyDescent="0.35">
      <c r="D748" t="s">
        <v>275</v>
      </c>
      <c r="E748" t="s">
        <v>251</v>
      </c>
      <c r="F748" t="str">
        <f>"26.0509"</f>
        <v>26.0509</v>
      </c>
      <c r="G748" s="8" t="s">
        <v>1676</v>
      </c>
    </row>
    <row r="749" spans="1:7" ht="29" x14ac:dyDescent="0.35">
      <c r="A749" t="str">
        <f>"26.0599"</f>
        <v>26.0599</v>
      </c>
      <c r="B749" t="s">
        <v>1677</v>
      </c>
      <c r="C749" s="8" t="s">
        <v>1678</v>
      </c>
      <c r="D749" t="s">
        <v>250</v>
      </c>
      <c r="E749" t="s">
        <v>251</v>
      </c>
      <c r="F749" t="str">
        <f>"26.0599"</f>
        <v>26.0599</v>
      </c>
      <c r="G749" s="8" t="s">
        <v>1678</v>
      </c>
    </row>
    <row r="750" spans="1:7" x14ac:dyDescent="0.35">
      <c r="A750" t="str">
        <f>"26.0701"</f>
        <v>26.0701</v>
      </c>
      <c r="B750" t="s">
        <v>1679</v>
      </c>
      <c r="C750" s="8" t="s">
        <v>1680</v>
      </c>
      <c r="D750" t="s">
        <v>250</v>
      </c>
      <c r="E750" t="s">
        <v>251</v>
      </c>
      <c r="F750" t="str">
        <f>"26.0701"</f>
        <v>26.0701</v>
      </c>
      <c r="G750" s="8" t="s">
        <v>1680</v>
      </c>
    </row>
    <row r="751" spans="1:7" x14ac:dyDescent="0.35">
      <c r="A751" t="str">
        <f>"26.0702"</f>
        <v>26.0702</v>
      </c>
      <c r="B751" t="s">
        <v>1681</v>
      </c>
      <c r="C751" s="8" t="s">
        <v>1682</v>
      </c>
      <c r="D751" t="s">
        <v>250</v>
      </c>
      <c r="E751" t="s">
        <v>251</v>
      </c>
      <c r="F751" t="str">
        <f>"26.0702"</f>
        <v>26.0702</v>
      </c>
      <c r="G751" s="8" t="s">
        <v>1682</v>
      </c>
    </row>
    <row r="752" spans="1:7" x14ac:dyDescent="0.35">
      <c r="A752" t="str">
        <f>"26.0707"</f>
        <v>26.0707</v>
      </c>
      <c r="B752" t="s">
        <v>1683</v>
      </c>
      <c r="C752" s="8" t="s">
        <v>1684</v>
      </c>
      <c r="D752" t="s">
        <v>250</v>
      </c>
      <c r="E752" t="s">
        <v>251</v>
      </c>
      <c r="F752" t="str">
        <f>"26.0707"</f>
        <v>26.0707</v>
      </c>
      <c r="G752" s="8" t="s">
        <v>1684</v>
      </c>
    </row>
    <row r="753" spans="1:7" x14ac:dyDescent="0.35">
      <c r="A753" t="str">
        <f>"26.0708"</f>
        <v>26.0708</v>
      </c>
      <c r="B753" t="s">
        <v>1685</v>
      </c>
      <c r="C753" s="8" t="s">
        <v>1686</v>
      </c>
      <c r="D753" t="s">
        <v>250</v>
      </c>
      <c r="E753" t="s">
        <v>251</v>
      </c>
      <c r="F753" t="str">
        <f>"26.0708"</f>
        <v>26.0708</v>
      </c>
      <c r="G753" s="8" t="s">
        <v>1686</v>
      </c>
    </row>
    <row r="754" spans="1:7" x14ac:dyDescent="0.35">
      <c r="A754" t="str">
        <f>"26.0709"</f>
        <v>26.0709</v>
      </c>
      <c r="B754" t="s">
        <v>1687</v>
      </c>
      <c r="C754" s="8" t="s">
        <v>1688</v>
      </c>
      <c r="D754" t="s">
        <v>250</v>
      </c>
      <c r="E754" t="s">
        <v>251</v>
      </c>
      <c r="F754" t="str">
        <f>"26.0709"</f>
        <v>26.0709</v>
      </c>
      <c r="G754" s="8" t="s">
        <v>1688</v>
      </c>
    </row>
    <row r="755" spans="1:7" x14ac:dyDescent="0.35">
      <c r="A755" t="str">
        <f>"26.0799"</f>
        <v>26.0799</v>
      </c>
      <c r="B755" t="s">
        <v>1689</v>
      </c>
      <c r="C755" s="8" t="s">
        <v>1690</v>
      </c>
      <c r="D755" t="s">
        <v>250</v>
      </c>
      <c r="E755" t="s">
        <v>251</v>
      </c>
      <c r="F755" t="str">
        <f>"26.0799"</f>
        <v>26.0799</v>
      </c>
      <c r="G755" s="8" t="s">
        <v>1690</v>
      </c>
    </row>
    <row r="756" spans="1:7" x14ac:dyDescent="0.35">
      <c r="A756" t="str">
        <f>"26.0801"</f>
        <v>26.0801</v>
      </c>
      <c r="B756" t="s">
        <v>1691</v>
      </c>
      <c r="C756" s="8" t="s">
        <v>1692</v>
      </c>
      <c r="D756" t="s">
        <v>250</v>
      </c>
      <c r="E756" t="s">
        <v>251</v>
      </c>
      <c r="F756" t="str">
        <f>"26.0801"</f>
        <v>26.0801</v>
      </c>
      <c r="G756" s="8" t="s">
        <v>1692</v>
      </c>
    </row>
    <row r="757" spans="1:7" x14ac:dyDescent="0.35">
      <c r="A757" t="str">
        <f>"26.0802"</f>
        <v>26.0802</v>
      </c>
      <c r="B757" t="s">
        <v>1693</v>
      </c>
      <c r="C757" s="8" t="s">
        <v>1694</v>
      </c>
      <c r="D757" t="s">
        <v>250</v>
      </c>
      <c r="E757" t="s">
        <v>251</v>
      </c>
      <c r="F757" t="str">
        <f>"26.0802"</f>
        <v>26.0802</v>
      </c>
      <c r="G757" s="8" t="s">
        <v>1694</v>
      </c>
    </row>
    <row r="758" spans="1:7" x14ac:dyDescent="0.35">
      <c r="A758" t="str">
        <f>"26.0803"</f>
        <v>26.0803</v>
      </c>
      <c r="B758" t="s">
        <v>1695</v>
      </c>
      <c r="C758" s="8" t="s">
        <v>1696</v>
      </c>
      <c r="D758" t="s">
        <v>250</v>
      </c>
      <c r="E758" t="s">
        <v>251</v>
      </c>
      <c r="F758" t="str">
        <f>"26.0803"</f>
        <v>26.0803</v>
      </c>
      <c r="G758" s="8" t="s">
        <v>1696</v>
      </c>
    </row>
    <row r="759" spans="1:7" x14ac:dyDescent="0.35">
      <c r="A759" t="str">
        <f>"26.0804"</f>
        <v>26.0804</v>
      </c>
      <c r="B759" t="s">
        <v>1697</v>
      </c>
      <c r="C759" s="8" t="s">
        <v>1698</v>
      </c>
      <c r="D759" t="s">
        <v>250</v>
      </c>
      <c r="E759" t="s">
        <v>251</v>
      </c>
      <c r="F759" t="str">
        <f>"26.0804"</f>
        <v>26.0804</v>
      </c>
      <c r="G759" s="8" t="s">
        <v>1698</v>
      </c>
    </row>
    <row r="760" spans="1:7" x14ac:dyDescent="0.35">
      <c r="A760" t="str">
        <f>"26.0805"</f>
        <v>26.0805</v>
      </c>
      <c r="B760" t="s">
        <v>1699</v>
      </c>
      <c r="C760" s="8" t="s">
        <v>1700</v>
      </c>
      <c r="D760" t="s">
        <v>250</v>
      </c>
      <c r="E760" t="s">
        <v>251</v>
      </c>
      <c r="F760" t="str">
        <f>"26.0805"</f>
        <v>26.0805</v>
      </c>
      <c r="G760" s="8" t="s">
        <v>1700</v>
      </c>
    </row>
    <row r="761" spans="1:7" x14ac:dyDescent="0.35">
      <c r="A761" t="str">
        <f>"26.0806"</f>
        <v>26.0806</v>
      </c>
      <c r="B761" t="s">
        <v>1701</v>
      </c>
      <c r="C761" s="8" t="s">
        <v>1702</v>
      </c>
      <c r="D761" t="s">
        <v>250</v>
      </c>
      <c r="E761" t="s">
        <v>251</v>
      </c>
      <c r="F761" t="str">
        <f>"26.0806"</f>
        <v>26.0806</v>
      </c>
      <c r="G761" s="8" t="s">
        <v>1702</v>
      </c>
    </row>
    <row r="762" spans="1:7" x14ac:dyDescent="0.35">
      <c r="A762" t="str">
        <f>"26.0807"</f>
        <v>26.0807</v>
      </c>
      <c r="B762" t="s">
        <v>1703</v>
      </c>
      <c r="C762" s="8" t="s">
        <v>1704</v>
      </c>
      <c r="D762" t="s">
        <v>250</v>
      </c>
      <c r="E762" t="s">
        <v>251</v>
      </c>
      <c r="F762" t="str">
        <f>"26.0807"</f>
        <v>26.0807</v>
      </c>
      <c r="G762" s="8" t="s">
        <v>1704</v>
      </c>
    </row>
    <row r="763" spans="1:7" x14ac:dyDescent="0.35">
      <c r="A763" t="str">
        <f>"26.0899"</f>
        <v>26.0899</v>
      </c>
      <c r="B763" t="s">
        <v>1705</v>
      </c>
      <c r="C763" s="8" t="s">
        <v>1706</v>
      </c>
      <c r="D763" t="s">
        <v>250</v>
      </c>
      <c r="E763" t="s">
        <v>251</v>
      </c>
      <c r="F763" t="str">
        <f>"26.0899"</f>
        <v>26.0899</v>
      </c>
      <c r="G763" s="8" t="s">
        <v>1706</v>
      </c>
    </row>
    <row r="764" spans="1:7" x14ac:dyDescent="0.35">
      <c r="A764" t="str">
        <f>"26.0901"</f>
        <v>26.0901</v>
      </c>
      <c r="B764" t="s">
        <v>1707</v>
      </c>
      <c r="C764" s="8" t="s">
        <v>1708</v>
      </c>
      <c r="D764" t="s">
        <v>250</v>
      </c>
      <c r="E764" t="s">
        <v>251</v>
      </c>
      <c r="F764" t="str">
        <f>"26.0901"</f>
        <v>26.0901</v>
      </c>
      <c r="G764" s="8" t="s">
        <v>1708</v>
      </c>
    </row>
    <row r="765" spans="1:7" x14ac:dyDescent="0.35">
      <c r="A765" t="str">
        <f>"26.0902"</f>
        <v>26.0902</v>
      </c>
      <c r="B765" t="s">
        <v>1709</v>
      </c>
      <c r="C765" s="8" t="s">
        <v>1710</v>
      </c>
      <c r="D765" t="s">
        <v>250</v>
      </c>
      <c r="E765" t="s">
        <v>251</v>
      </c>
      <c r="F765" t="str">
        <f>"26.0902"</f>
        <v>26.0902</v>
      </c>
      <c r="G765" s="8" t="s">
        <v>1710</v>
      </c>
    </row>
    <row r="766" spans="1:7" x14ac:dyDescent="0.35">
      <c r="A766" t="str">
        <f>"26.0903"</f>
        <v>26.0903</v>
      </c>
      <c r="B766" t="s">
        <v>1711</v>
      </c>
      <c r="C766" s="8" t="s">
        <v>1712</v>
      </c>
      <c r="D766" t="s">
        <v>250</v>
      </c>
      <c r="E766" t="s">
        <v>251</v>
      </c>
      <c r="F766" t="str">
        <f>"26.0903"</f>
        <v>26.0903</v>
      </c>
      <c r="G766" s="8" t="s">
        <v>1712</v>
      </c>
    </row>
    <row r="767" spans="1:7" x14ac:dyDescent="0.35">
      <c r="A767" t="str">
        <f>"26.0904"</f>
        <v>26.0904</v>
      </c>
      <c r="B767" t="s">
        <v>1713</v>
      </c>
      <c r="C767" s="8" t="s">
        <v>1714</v>
      </c>
      <c r="D767" t="s">
        <v>250</v>
      </c>
      <c r="E767" t="s">
        <v>251</v>
      </c>
      <c r="F767" t="str">
        <f>"26.0904"</f>
        <v>26.0904</v>
      </c>
      <c r="G767" s="8" t="s">
        <v>1714</v>
      </c>
    </row>
    <row r="768" spans="1:7" x14ac:dyDescent="0.35">
      <c r="A768" t="str">
        <f>"26.0905"</f>
        <v>26.0905</v>
      </c>
      <c r="B768" t="s">
        <v>1715</v>
      </c>
      <c r="C768" s="8" t="s">
        <v>1716</v>
      </c>
      <c r="D768" t="s">
        <v>250</v>
      </c>
      <c r="E768" t="s">
        <v>251</v>
      </c>
      <c r="F768" t="str">
        <f>"26.0905"</f>
        <v>26.0905</v>
      </c>
      <c r="G768" s="8" t="s">
        <v>1716</v>
      </c>
    </row>
    <row r="769" spans="1:7" x14ac:dyDescent="0.35">
      <c r="A769" t="str">
        <f>"26.0907"</f>
        <v>26.0907</v>
      </c>
      <c r="B769" t="s">
        <v>1717</v>
      </c>
      <c r="C769" s="8" t="s">
        <v>1718</v>
      </c>
      <c r="D769" t="s">
        <v>250</v>
      </c>
      <c r="E769" t="s">
        <v>251</v>
      </c>
      <c r="F769" t="str">
        <f>"26.0907"</f>
        <v>26.0907</v>
      </c>
      <c r="G769" s="8" t="s">
        <v>1718</v>
      </c>
    </row>
    <row r="770" spans="1:7" x14ac:dyDescent="0.35">
      <c r="A770" t="str">
        <f>"26.0908"</f>
        <v>26.0908</v>
      </c>
      <c r="B770" t="s">
        <v>1719</v>
      </c>
      <c r="C770" s="8" t="s">
        <v>1720</v>
      </c>
      <c r="D770" t="s">
        <v>250</v>
      </c>
      <c r="E770" t="s">
        <v>264</v>
      </c>
      <c r="F770" t="str">
        <f>"26.0908"</f>
        <v>26.0908</v>
      </c>
      <c r="G770" s="8" t="s">
        <v>1721</v>
      </c>
    </row>
    <row r="771" spans="1:7" x14ac:dyDescent="0.35">
      <c r="A771" t="str">
        <f>"26.0909"</f>
        <v>26.0909</v>
      </c>
      <c r="B771" t="s">
        <v>1722</v>
      </c>
      <c r="C771" s="8" t="s">
        <v>1723</v>
      </c>
      <c r="D771" t="s">
        <v>250</v>
      </c>
      <c r="E771" t="s">
        <v>251</v>
      </c>
      <c r="F771" t="str">
        <f>"26.0909"</f>
        <v>26.0909</v>
      </c>
      <c r="G771" s="8" t="s">
        <v>1723</v>
      </c>
    </row>
    <row r="772" spans="1:7" x14ac:dyDescent="0.35">
      <c r="A772" t="str">
        <f>"26.0910"</f>
        <v>26.0910</v>
      </c>
      <c r="B772" t="s">
        <v>1724</v>
      </c>
      <c r="C772" s="8" t="s">
        <v>1725</v>
      </c>
      <c r="D772" t="s">
        <v>250</v>
      </c>
      <c r="E772" t="s">
        <v>251</v>
      </c>
      <c r="F772" t="str">
        <f>"26.0910"</f>
        <v>26.0910</v>
      </c>
      <c r="G772" s="8" t="s">
        <v>1725</v>
      </c>
    </row>
    <row r="773" spans="1:7" x14ac:dyDescent="0.35">
      <c r="A773" t="str">
        <f>"26.0911"</f>
        <v>26.0911</v>
      </c>
      <c r="B773" t="s">
        <v>1726</v>
      </c>
      <c r="C773" s="8" t="s">
        <v>1727</v>
      </c>
      <c r="D773" t="s">
        <v>250</v>
      </c>
      <c r="E773" t="s">
        <v>251</v>
      </c>
      <c r="F773" t="str">
        <f>"26.0911"</f>
        <v>26.0911</v>
      </c>
      <c r="G773" s="8" t="s">
        <v>1727</v>
      </c>
    </row>
    <row r="774" spans="1:7" x14ac:dyDescent="0.35">
      <c r="A774" t="str">
        <f>"26.0912"</f>
        <v>26.0912</v>
      </c>
      <c r="B774" t="s">
        <v>1728</v>
      </c>
      <c r="C774" s="8" t="s">
        <v>1729</v>
      </c>
      <c r="D774" t="s">
        <v>250</v>
      </c>
      <c r="E774" t="s">
        <v>251</v>
      </c>
      <c r="F774" t="str">
        <f>"26.0912"</f>
        <v>26.0912</v>
      </c>
      <c r="G774" s="8" t="s">
        <v>1729</v>
      </c>
    </row>
    <row r="775" spans="1:7" x14ac:dyDescent="0.35">
      <c r="D775" t="s">
        <v>275</v>
      </c>
      <c r="E775" t="s">
        <v>251</v>
      </c>
      <c r="F775" t="str">
        <f>"26.0913"</f>
        <v>26.0913</v>
      </c>
      <c r="G775" s="8" t="s">
        <v>1730</v>
      </c>
    </row>
    <row r="776" spans="1:7" ht="29" x14ac:dyDescent="0.35">
      <c r="A776" t="str">
        <f>"26.0999"</f>
        <v>26.0999</v>
      </c>
      <c r="B776" t="s">
        <v>1731</v>
      </c>
      <c r="C776" s="8" t="s">
        <v>1732</v>
      </c>
      <c r="D776" t="s">
        <v>250</v>
      </c>
      <c r="E776" t="s">
        <v>251</v>
      </c>
      <c r="F776" t="str">
        <f>"26.0999"</f>
        <v>26.0999</v>
      </c>
      <c r="G776" s="8" t="s">
        <v>1732</v>
      </c>
    </row>
    <row r="777" spans="1:7" x14ac:dyDescent="0.35">
      <c r="A777" t="str">
        <f>"26.1001"</f>
        <v>26.1001</v>
      </c>
      <c r="B777" t="s">
        <v>1733</v>
      </c>
      <c r="C777" s="8" t="s">
        <v>1734</v>
      </c>
      <c r="D777" t="s">
        <v>250</v>
      </c>
      <c r="E777" t="s">
        <v>251</v>
      </c>
      <c r="F777" t="str">
        <f>"26.1001"</f>
        <v>26.1001</v>
      </c>
      <c r="G777" s="8" t="s">
        <v>1734</v>
      </c>
    </row>
    <row r="778" spans="1:7" x14ac:dyDescent="0.35">
      <c r="A778" t="str">
        <f>"26.1002"</f>
        <v>26.1002</v>
      </c>
      <c r="B778" t="s">
        <v>1735</v>
      </c>
      <c r="C778" s="8" t="s">
        <v>1736</v>
      </c>
      <c r="D778" t="s">
        <v>250</v>
      </c>
      <c r="E778" t="s">
        <v>251</v>
      </c>
      <c r="F778" t="str">
        <f>"26.1002"</f>
        <v>26.1002</v>
      </c>
      <c r="G778" s="8" t="s">
        <v>1736</v>
      </c>
    </row>
    <row r="779" spans="1:7" x14ac:dyDescent="0.35">
      <c r="A779" t="str">
        <f>"26.1003"</f>
        <v>26.1003</v>
      </c>
      <c r="B779" t="s">
        <v>1737</v>
      </c>
      <c r="C779" s="8" t="s">
        <v>1738</v>
      </c>
      <c r="D779" t="s">
        <v>250</v>
      </c>
      <c r="E779" t="s">
        <v>251</v>
      </c>
      <c r="F779" t="str">
        <f>"26.1003"</f>
        <v>26.1003</v>
      </c>
      <c r="G779" s="8" t="s">
        <v>1738</v>
      </c>
    </row>
    <row r="780" spans="1:7" x14ac:dyDescent="0.35">
      <c r="A780" t="str">
        <f>"26.1004"</f>
        <v>26.1004</v>
      </c>
      <c r="B780" t="s">
        <v>1739</v>
      </c>
      <c r="C780" s="8" t="s">
        <v>1740</v>
      </c>
      <c r="D780" t="s">
        <v>250</v>
      </c>
      <c r="E780" t="s">
        <v>251</v>
      </c>
      <c r="F780" t="str">
        <f>"26.1004"</f>
        <v>26.1004</v>
      </c>
      <c r="G780" s="8" t="s">
        <v>1740</v>
      </c>
    </row>
    <row r="781" spans="1:7" x14ac:dyDescent="0.35">
      <c r="A781" t="str">
        <f>"26.1005"</f>
        <v>26.1005</v>
      </c>
      <c r="B781" t="s">
        <v>1741</v>
      </c>
      <c r="C781" s="8" t="s">
        <v>1742</v>
      </c>
      <c r="D781" t="s">
        <v>250</v>
      </c>
      <c r="E781" t="s">
        <v>251</v>
      </c>
      <c r="F781" t="str">
        <f>"26.1005"</f>
        <v>26.1005</v>
      </c>
      <c r="G781" s="8" t="s">
        <v>1742</v>
      </c>
    </row>
    <row r="782" spans="1:7" x14ac:dyDescent="0.35">
      <c r="A782" t="str">
        <f>"26.1006"</f>
        <v>26.1006</v>
      </c>
      <c r="B782" t="s">
        <v>1743</v>
      </c>
      <c r="C782" s="8" t="s">
        <v>1744</v>
      </c>
      <c r="D782" t="s">
        <v>250</v>
      </c>
      <c r="E782" t="s">
        <v>251</v>
      </c>
      <c r="F782" t="str">
        <f>"26.1006"</f>
        <v>26.1006</v>
      </c>
      <c r="G782" s="8" t="s">
        <v>1744</v>
      </c>
    </row>
    <row r="783" spans="1:7" x14ac:dyDescent="0.35">
      <c r="A783" t="str">
        <f>"26.1007"</f>
        <v>26.1007</v>
      </c>
      <c r="B783" t="s">
        <v>1745</v>
      </c>
      <c r="C783" s="8" t="s">
        <v>1746</v>
      </c>
      <c r="D783" t="s">
        <v>250</v>
      </c>
      <c r="E783" t="s">
        <v>251</v>
      </c>
      <c r="F783" t="str">
        <f>"26.1007"</f>
        <v>26.1007</v>
      </c>
      <c r="G783" s="8" t="s">
        <v>1746</v>
      </c>
    </row>
    <row r="784" spans="1:7" x14ac:dyDescent="0.35">
      <c r="A784" t="str">
        <f>"26.1099"</f>
        <v>26.1099</v>
      </c>
      <c r="B784" t="s">
        <v>1747</v>
      </c>
      <c r="C784" s="8" t="s">
        <v>1748</v>
      </c>
      <c r="D784" t="s">
        <v>250</v>
      </c>
      <c r="E784" t="s">
        <v>251</v>
      </c>
      <c r="F784" t="str">
        <f>"26.1099"</f>
        <v>26.1099</v>
      </c>
      <c r="G784" s="8" t="s">
        <v>1748</v>
      </c>
    </row>
    <row r="785" spans="1:7" x14ac:dyDescent="0.35">
      <c r="A785" t="str">
        <f>"26.1101"</f>
        <v>26.1101</v>
      </c>
      <c r="B785" t="s">
        <v>1749</v>
      </c>
      <c r="C785" s="8" t="s">
        <v>1750</v>
      </c>
      <c r="D785" t="s">
        <v>250</v>
      </c>
      <c r="E785" t="s">
        <v>251</v>
      </c>
      <c r="F785" t="str">
        <f>"26.1101"</f>
        <v>26.1101</v>
      </c>
      <c r="G785" s="8" t="s">
        <v>1750</v>
      </c>
    </row>
    <row r="786" spans="1:7" x14ac:dyDescent="0.35">
      <c r="A786" t="str">
        <f>"26.1102"</f>
        <v>26.1102</v>
      </c>
      <c r="B786" t="s">
        <v>1751</v>
      </c>
      <c r="C786" s="8" t="s">
        <v>1752</v>
      </c>
      <c r="D786" t="s">
        <v>250</v>
      </c>
      <c r="E786" t="s">
        <v>251</v>
      </c>
      <c r="F786" t="str">
        <f>"26.1102"</f>
        <v>26.1102</v>
      </c>
      <c r="G786" s="8" t="s">
        <v>1752</v>
      </c>
    </row>
    <row r="787" spans="1:7" x14ac:dyDescent="0.35">
      <c r="A787" t="str">
        <f>"26.1103"</f>
        <v>26.1103</v>
      </c>
      <c r="B787" t="s">
        <v>1753</v>
      </c>
      <c r="C787" s="8" t="s">
        <v>1754</v>
      </c>
      <c r="D787" t="s">
        <v>250</v>
      </c>
      <c r="E787" t="s">
        <v>251</v>
      </c>
      <c r="F787" t="str">
        <f>"26.1103"</f>
        <v>26.1103</v>
      </c>
      <c r="G787" s="8" t="s">
        <v>1754</v>
      </c>
    </row>
    <row r="788" spans="1:7" x14ac:dyDescent="0.35">
      <c r="A788" t="str">
        <f>"26.1104"</f>
        <v>26.1104</v>
      </c>
      <c r="B788" t="s">
        <v>1755</v>
      </c>
      <c r="C788" s="8" t="s">
        <v>1756</v>
      </c>
      <c r="D788" t="s">
        <v>250</v>
      </c>
      <c r="E788" t="s">
        <v>251</v>
      </c>
      <c r="F788" t="str">
        <f>"26.1104"</f>
        <v>26.1104</v>
      </c>
      <c r="G788" s="8" t="s">
        <v>1756</v>
      </c>
    </row>
    <row r="789" spans="1:7" ht="29" x14ac:dyDescent="0.35">
      <c r="A789" t="str">
        <f>"26.1199"</f>
        <v>26.1199</v>
      </c>
      <c r="B789" t="s">
        <v>1757</v>
      </c>
      <c r="C789" s="8" t="s">
        <v>1758</v>
      </c>
      <c r="D789" t="s">
        <v>250</v>
      </c>
      <c r="E789" t="s">
        <v>251</v>
      </c>
      <c r="F789" t="str">
        <f>"26.1199"</f>
        <v>26.1199</v>
      </c>
      <c r="G789" s="8" t="s">
        <v>1758</v>
      </c>
    </row>
    <row r="790" spans="1:7" x14ac:dyDescent="0.35">
      <c r="A790" t="str">
        <f>"26.1201"</f>
        <v>26.1201</v>
      </c>
      <c r="B790" t="s">
        <v>1759</v>
      </c>
      <c r="C790" s="8" t="s">
        <v>1760</v>
      </c>
      <c r="D790" t="s">
        <v>250</v>
      </c>
      <c r="E790" t="s">
        <v>251</v>
      </c>
      <c r="F790" t="str">
        <f>"26.1201"</f>
        <v>26.1201</v>
      </c>
      <c r="G790" s="8" t="s">
        <v>1760</v>
      </c>
    </row>
    <row r="791" spans="1:7" x14ac:dyDescent="0.35">
      <c r="A791" t="str">
        <f>"26.1301"</f>
        <v>26.1301</v>
      </c>
      <c r="B791" t="s">
        <v>1761</v>
      </c>
      <c r="C791" s="8" t="s">
        <v>1762</v>
      </c>
      <c r="D791" t="s">
        <v>250</v>
      </c>
      <c r="E791" t="s">
        <v>251</v>
      </c>
      <c r="F791" t="str">
        <f>"26.1301"</f>
        <v>26.1301</v>
      </c>
      <c r="G791" s="8" t="s">
        <v>1762</v>
      </c>
    </row>
    <row r="792" spans="1:7" ht="29" x14ac:dyDescent="0.35">
      <c r="A792" t="str">
        <f>"26.1302"</f>
        <v>26.1302</v>
      </c>
      <c r="B792" t="s">
        <v>1763</v>
      </c>
      <c r="C792" s="8" t="s">
        <v>1764</v>
      </c>
      <c r="D792" t="s">
        <v>250</v>
      </c>
      <c r="E792" t="s">
        <v>251</v>
      </c>
      <c r="F792" t="str">
        <f>"26.1302"</f>
        <v>26.1302</v>
      </c>
      <c r="G792" s="8" t="s">
        <v>1764</v>
      </c>
    </row>
    <row r="793" spans="1:7" x14ac:dyDescent="0.35">
      <c r="A793" t="str">
        <f>"26.1303"</f>
        <v>26.1303</v>
      </c>
      <c r="B793" t="s">
        <v>1765</v>
      </c>
      <c r="C793" s="8" t="s">
        <v>1766</v>
      </c>
      <c r="D793" t="s">
        <v>250</v>
      </c>
      <c r="E793" t="s">
        <v>251</v>
      </c>
      <c r="F793" t="str">
        <f>"26.1303"</f>
        <v>26.1303</v>
      </c>
      <c r="G793" s="8" t="s">
        <v>1766</v>
      </c>
    </row>
    <row r="794" spans="1:7" x14ac:dyDescent="0.35">
      <c r="A794" t="str">
        <f>"26.1304"</f>
        <v>26.1304</v>
      </c>
      <c r="B794" t="s">
        <v>1767</v>
      </c>
      <c r="C794" s="8" t="s">
        <v>1768</v>
      </c>
      <c r="D794" t="s">
        <v>250</v>
      </c>
      <c r="E794" t="s">
        <v>251</v>
      </c>
      <c r="F794" t="str">
        <f>"26.1304"</f>
        <v>26.1304</v>
      </c>
      <c r="G794" s="8" t="s">
        <v>1768</v>
      </c>
    </row>
    <row r="795" spans="1:7" x14ac:dyDescent="0.35">
      <c r="A795" t="str">
        <f>"26.1305"</f>
        <v>26.1305</v>
      </c>
      <c r="B795" t="s">
        <v>1769</v>
      </c>
      <c r="C795" s="8" t="s">
        <v>1770</v>
      </c>
      <c r="D795" t="s">
        <v>250</v>
      </c>
      <c r="E795" t="s">
        <v>251</v>
      </c>
      <c r="F795" t="str">
        <f>"26.1305"</f>
        <v>26.1305</v>
      </c>
      <c r="G795" s="8" t="s">
        <v>1770</v>
      </c>
    </row>
    <row r="796" spans="1:7" x14ac:dyDescent="0.35">
      <c r="A796" t="str">
        <f>"26.1306"</f>
        <v>26.1306</v>
      </c>
      <c r="B796" t="s">
        <v>1771</v>
      </c>
      <c r="C796" s="8" t="s">
        <v>1772</v>
      </c>
      <c r="D796" t="s">
        <v>250</v>
      </c>
      <c r="E796" t="s">
        <v>251</v>
      </c>
      <c r="F796" t="str">
        <f>"26.1306"</f>
        <v>26.1306</v>
      </c>
      <c r="G796" s="8" t="s">
        <v>1772</v>
      </c>
    </row>
    <row r="797" spans="1:7" x14ac:dyDescent="0.35">
      <c r="A797" t="str">
        <f>"26.1307"</f>
        <v>26.1307</v>
      </c>
      <c r="B797" t="s">
        <v>1773</v>
      </c>
      <c r="C797" s="8" t="s">
        <v>1774</v>
      </c>
      <c r="D797" t="s">
        <v>250</v>
      </c>
      <c r="E797" t="s">
        <v>251</v>
      </c>
      <c r="F797" t="str">
        <f>"26.1307"</f>
        <v>26.1307</v>
      </c>
      <c r="G797" s="8" t="s">
        <v>1774</v>
      </c>
    </row>
    <row r="798" spans="1:7" x14ac:dyDescent="0.35">
      <c r="A798" t="str">
        <f>"26.1308"</f>
        <v>26.1308</v>
      </c>
      <c r="B798" t="s">
        <v>1775</v>
      </c>
      <c r="C798" s="8" t="s">
        <v>1776</v>
      </c>
      <c r="D798" t="s">
        <v>250</v>
      </c>
      <c r="E798" t="s">
        <v>251</v>
      </c>
      <c r="F798" t="str">
        <f>"26.1308"</f>
        <v>26.1308</v>
      </c>
      <c r="G798" s="8" t="s">
        <v>1776</v>
      </c>
    </row>
    <row r="799" spans="1:7" x14ac:dyDescent="0.35">
      <c r="A799" t="str">
        <f>"26.1309"</f>
        <v>26.1309</v>
      </c>
      <c r="B799" t="s">
        <v>1777</v>
      </c>
      <c r="C799" s="8" t="s">
        <v>1778</v>
      </c>
      <c r="D799" t="s">
        <v>250</v>
      </c>
      <c r="E799" t="s">
        <v>251</v>
      </c>
      <c r="F799" t="str">
        <f>"26.1309"</f>
        <v>26.1309</v>
      </c>
      <c r="G799" s="8" t="s">
        <v>1778</v>
      </c>
    </row>
    <row r="800" spans="1:7" x14ac:dyDescent="0.35">
      <c r="A800" t="str">
        <f>"26.1310"</f>
        <v>26.1310</v>
      </c>
      <c r="B800" t="s">
        <v>1779</v>
      </c>
      <c r="C800" s="8" t="s">
        <v>1780</v>
      </c>
      <c r="D800" t="s">
        <v>250</v>
      </c>
      <c r="E800" t="s">
        <v>251</v>
      </c>
      <c r="F800" t="str">
        <f>"26.1310"</f>
        <v>26.1310</v>
      </c>
      <c r="G800" s="8" t="s">
        <v>1780</v>
      </c>
    </row>
    <row r="801" spans="1:7" x14ac:dyDescent="0.35">
      <c r="D801" t="s">
        <v>275</v>
      </c>
      <c r="E801" t="s">
        <v>251</v>
      </c>
      <c r="F801" t="str">
        <f>"26.1311"</f>
        <v>26.1311</v>
      </c>
      <c r="G801" s="8" t="s">
        <v>1781</v>
      </c>
    </row>
    <row r="802" spans="1:7" ht="29" x14ac:dyDescent="0.35">
      <c r="A802" t="str">
        <f>"26.1399"</f>
        <v>26.1399</v>
      </c>
      <c r="B802" t="s">
        <v>1782</v>
      </c>
      <c r="C802" s="8" t="s">
        <v>1783</v>
      </c>
      <c r="D802" t="s">
        <v>250</v>
      </c>
      <c r="E802" t="s">
        <v>251</v>
      </c>
      <c r="F802" t="str">
        <f>"26.1399"</f>
        <v>26.1399</v>
      </c>
      <c r="G802" s="8" t="s">
        <v>1783</v>
      </c>
    </row>
    <row r="803" spans="1:7" x14ac:dyDescent="0.35">
      <c r="A803" t="str">
        <f>"26.1401"</f>
        <v>26.1401</v>
      </c>
      <c r="B803" t="s">
        <v>1784</v>
      </c>
      <c r="C803" s="8" t="s">
        <v>1785</v>
      </c>
      <c r="D803" t="s">
        <v>250</v>
      </c>
      <c r="E803" t="s">
        <v>251</v>
      </c>
      <c r="F803" t="str">
        <f>"26.1401"</f>
        <v>26.1401</v>
      </c>
      <c r="G803" s="8" t="s">
        <v>1785</v>
      </c>
    </row>
    <row r="804" spans="1:7" x14ac:dyDescent="0.35">
      <c r="A804" t="str">
        <f>"26.1501"</f>
        <v>26.1501</v>
      </c>
      <c r="B804" t="s">
        <v>1786</v>
      </c>
      <c r="C804" s="8" t="s">
        <v>1787</v>
      </c>
      <c r="D804" t="s">
        <v>250</v>
      </c>
      <c r="E804" t="s">
        <v>251</v>
      </c>
      <c r="F804" t="str">
        <f>"26.1501"</f>
        <v>26.1501</v>
      </c>
      <c r="G804" s="8" t="s">
        <v>1787</v>
      </c>
    </row>
    <row r="805" spans="1:7" x14ac:dyDescent="0.35">
      <c r="A805" t="str">
        <f>"26.1502"</f>
        <v>26.1502</v>
      </c>
      <c r="B805" t="s">
        <v>1788</v>
      </c>
      <c r="C805" s="8" t="s">
        <v>1789</v>
      </c>
      <c r="D805" t="s">
        <v>250</v>
      </c>
      <c r="E805" t="s">
        <v>251</v>
      </c>
      <c r="F805" t="str">
        <f>"26.1502"</f>
        <v>26.1502</v>
      </c>
      <c r="G805" s="8" t="s">
        <v>1789</v>
      </c>
    </row>
    <row r="806" spans="1:7" x14ac:dyDescent="0.35">
      <c r="A806" t="str">
        <f>"26.1503"</f>
        <v>26.1503</v>
      </c>
      <c r="B806" t="s">
        <v>1790</v>
      </c>
      <c r="C806" s="8" t="s">
        <v>1791</v>
      </c>
      <c r="D806" t="s">
        <v>250</v>
      </c>
      <c r="E806" t="s">
        <v>251</v>
      </c>
      <c r="F806" t="str">
        <f>"26.1503"</f>
        <v>26.1503</v>
      </c>
      <c r="G806" s="8" t="s">
        <v>1791</v>
      </c>
    </row>
    <row r="807" spans="1:7" x14ac:dyDescent="0.35">
      <c r="A807" t="str">
        <f>"26.1504"</f>
        <v>26.1504</v>
      </c>
      <c r="B807" t="s">
        <v>1792</v>
      </c>
      <c r="C807" s="8" t="s">
        <v>1793</v>
      </c>
      <c r="D807" t="s">
        <v>250</v>
      </c>
      <c r="E807" t="s">
        <v>251</v>
      </c>
      <c r="F807" t="str">
        <f>"26.1504"</f>
        <v>26.1504</v>
      </c>
      <c r="G807" s="8" t="s">
        <v>1793</v>
      </c>
    </row>
    <row r="808" spans="1:7" x14ac:dyDescent="0.35">
      <c r="A808" t="str">
        <f>"26.1599"</f>
        <v>26.1599</v>
      </c>
      <c r="B808" t="s">
        <v>1794</v>
      </c>
      <c r="C808" s="8" t="s">
        <v>1795</v>
      </c>
      <c r="D808" t="s">
        <v>250</v>
      </c>
      <c r="E808" t="s">
        <v>251</v>
      </c>
      <c r="F808" t="str">
        <f>"26.1599"</f>
        <v>26.1599</v>
      </c>
      <c r="G808" s="8" t="s">
        <v>1795</v>
      </c>
    </row>
    <row r="809" spans="1:7" x14ac:dyDescent="0.35">
      <c r="A809" t="str">
        <f>"26.9999"</f>
        <v>26.9999</v>
      </c>
      <c r="B809" t="s">
        <v>1796</v>
      </c>
      <c r="C809" s="8" t="s">
        <v>1797</v>
      </c>
      <c r="D809" t="s">
        <v>250</v>
      </c>
      <c r="E809" t="s">
        <v>251</v>
      </c>
      <c r="F809" t="str">
        <f>"26.9999"</f>
        <v>26.9999</v>
      </c>
      <c r="G809" s="8" t="s">
        <v>1797</v>
      </c>
    </row>
    <row r="810" spans="1:7" x14ac:dyDescent="0.35">
      <c r="A810" t="str">
        <f>"27.0101"</f>
        <v>27.0101</v>
      </c>
      <c r="B810" t="s">
        <v>1798</v>
      </c>
      <c r="C810" s="8" t="s">
        <v>1799</v>
      </c>
      <c r="D810" t="s">
        <v>250</v>
      </c>
      <c r="E810" t="s">
        <v>251</v>
      </c>
      <c r="F810" t="str">
        <f>"27.0101"</f>
        <v>27.0101</v>
      </c>
      <c r="G810" s="8" t="s">
        <v>1799</v>
      </c>
    </row>
    <row r="811" spans="1:7" x14ac:dyDescent="0.35">
      <c r="A811" t="str">
        <f>"27.0102"</f>
        <v>27.0102</v>
      </c>
      <c r="B811" t="s">
        <v>1800</v>
      </c>
      <c r="C811" s="8" t="s">
        <v>1801</v>
      </c>
      <c r="D811" t="s">
        <v>250</v>
      </c>
      <c r="E811" t="s">
        <v>251</v>
      </c>
      <c r="F811" t="str">
        <f>"27.0102"</f>
        <v>27.0102</v>
      </c>
      <c r="G811" s="8" t="s">
        <v>1801</v>
      </c>
    </row>
    <row r="812" spans="1:7" x14ac:dyDescent="0.35">
      <c r="A812" t="str">
        <f>"27.0103"</f>
        <v>27.0103</v>
      </c>
      <c r="B812" t="s">
        <v>1802</v>
      </c>
      <c r="C812" s="8" t="s">
        <v>1803</v>
      </c>
      <c r="D812" t="s">
        <v>250</v>
      </c>
      <c r="E812" t="s">
        <v>251</v>
      </c>
      <c r="F812" t="str">
        <f>"27.0103"</f>
        <v>27.0103</v>
      </c>
      <c r="G812" s="8" t="s">
        <v>1803</v>
      </c>
    </row>
    <row r="813" spans="1:7" x14ac:dyDescent="0.35">
      <c r="A813" t="str">
        <f>"27.0104"</f>
        <v>27.0104</v>
      </c>
      <c r="B813" t="s">
        <v>1804</v>
      </c>
      <c r="C813" s="8" t="s">
        <v>1805</v>
      </c>
      <c r="D813" t="s">
        <v>250</v>
      </c>
      <c r="E813" t="s">
        <v>251</v>
      </c>
      <c r="F813" t="str">
        <f>"27.0104"</f>
        <v>27.0104</v>
      </c>
      <c r="G813" s="8" t="s">
        <v>1805</v>
      </c>
    </row>
    <row r="814" spans="1:7" x14ac:dyDescent="0.35">
      <c r="A814" t="str">
        <f>"27.0105"</f>
        <v>27.0105</v>
      </c>
      <c r="B814" t="s">
        <v>1806</v>
      </c>
      <c r="C814" s="8" t="s">
        <v>1807</v>
      </c>
      <c r="D814" t="s">
        <v>250</v>
      </c>
      <c r="E814" t="s">
        <v>251</v>
      </c>
      <c r="F814" t="str">
        <f>"27.0105"</f>
        <v>27.0105</v>
      </c>
      <c r="G814" s="8" t="s">
        <v>1807</v>
      </c>
    </row>
    <row r="815" spans="1:7" x14ac:dyDescent="0.35">
      <c r="A815" t="str">
        <f>"27.0199"</f>
        <v>27.0199</v>
      </c>
      <c r="B815" t="s">
        <v>1808</v>
      </c>
      <c r="C815" s="8" t="s">
        <v>1809</v>
      </c>
      <c r="D815" t="s">
        <v>250</v>
      </c>
      <c r="E815" t="s">
        <v>251</v>
      </c>
      <c r="F815" t="str">
        <f>"27.0199"</f>
        <v>27.0199</v>
      </c>
      <c r="G815" s="8" t="s">
        <v>1809</v>
      </c>
    </row>
    <row r="816" spans="1:7" x14ac:dyDescent="0.35">
      <c r="A816" t="str">
        <f>"27.0301"</f>
        <v>27.0301</v>
      </c>
      <c r="B816" t="s">
        <v>1810</v>
      </c>
      <c r="C816" s="8" t="s">
        <v>1811</v>
      </c>
      <c r="D816" t="s">
        <v>250</v>
      </c>
      <c r="E816" t="s">
        <v>264</v>
      </c>
      <c r="F816" t="str">
        <f>"27.0301"</f>
        <v>27.0301</v>
      </c>
      <c r="G816" s="8" t="s">
        <v>1811</v>
      </c>
    </row>
    <row r="817" spans="1:7" x14ac:dyDescent="0.35">
      <c r="A817" t="str">
        <f>"27.0303"</f>
        <v>27.0303</v>
      </c>
      <c r="B817" t="s">
        <v>1812</v>
      </c>
      <c r="C817" s="8" t="s">
        <v>1813</v>
      </c>
      <c r="D817" t="s">
        <v>250</v>
      </c>
      <c r="E817" t="s">
        <v>251</v>
      </c>
      <c r="F817" t="str">
        <f>"27.0303"</f>
        <v>27.0303</v>
      </c>
      <c r="G817" s="8" t="s">
        <v>1813</v>
      </c>
    </row>
    <row r="818" spans="1:7" x14ac:dyDescent="0.35">
      <c r="A818" t="str">
        <f>"27.0304"</f>
        <v>27.0304</v>
      </c>
      <c r="B818" t="s">
        <v>1814</v>
      </c>
      <c r="C818" s="8" t="s">
        <v>1815</v>
      </c>
      <c r="D818" t="s">
        <v>250</v>
      </c>
      <c r="E818" t="s">
        <v>251</v>
      </c>
      <c r="F818" t="str">
        <f>"27.0304"</f>
        <v>27.0304</v>
      </c>
      <c r="G818" s="8" t="s">
        <v>1815</v>
      </c>
    </row>
    <row r="819" spans="1:7" x14ac:dyDescent="0.35">
      <c r="A819" t="str">
        <f>"27.0305"</f>
        <v>27.0305</v>
      </c>
      <c r="B819" t="s">
        <v>1816</v>
      </c>
      <c r="C819" s="8" t="s">
        <v>1817</v>
      </c>
      <c r="D819" t="s">
        <v>250</v>
      </c>
      <c r="E819" t="s">
        <v>251</v>
      </c>
      <c r="F819" t="str">
        <f>"27.0305"</f>
        <v>27.0305</v>
      </c>
      <c r="G819" s="8" t="s">
        <v>1817</v>
      </c>
    </row>
    <row r="820" spans="1:7" x14ac:dyDescent="0.35">
      <c r="A820" t="str">
        <f>"27.0306"</f>
        <v>27.0306</v>
      </c>
      <c r="B820" t="s">
        <v>1818</v>
      </c>
      <c r="C820" s="8" t="s">
        <v>1819</v>
      </c>
      <c r="D820" t="s">
        <v>250</v>
      </c>
      <c r="E820" t="s">
        <v>251</v>
      </c>
      <c r="F820" t="str">
        <f>"27.0306"</f>
        <v>27.0306</v>
      </c>
      <c r="G820" s="8" t="s">
        <v>1819</v>
      </c>
    </row>
    <row r="821" spans="1:7" x14ac:dyDescent="0.35">
      <c r="A821" t="str">
        <f>"27.0399"</f>
        <v>27.0399</v>
      </c>
      <c r="B821" t="s">
        <v>1820</v>
      </c>
      <c r="C821" s="8" t="s">
        <v>1821</v>
      </c>
      <c r="D821" t="s">
        <v>250</v>
      </c>
      <c r="E821" t="s">
        <v>251</v>
      </c>
      <c r="F821" t="str">
        <f>"27.0399"</f>
        <v>27.0399</v>
      </c>
      <c r="G821" s="8" t="s">
        <v>1821</v>
      </c>
    </row>
    <row r="822" spans="1:7" x14ac:dyDescent="0.35">
      <c r="A822" t="str">
        <f>"27.0501"</f>
        <v>27.0501</v>
      </c>
      <c r="B822" t="s">
        <v>1822</v>
      </c>
      <c r="C822" s="8" t="s">
        <v>1823</v>
      </c>
      <c r="D822" t="s">
        <v>250</v>
      </c>
      <c r="E822" t="s">
        <v>251</v>
      </c>
      <c r="F822" t="str">
        <f>"27.0501"</f>
        <v>27.0501</v>
      </c>
      <c r="G822" s="8" t="s">
        <v>1823</v>
      </c>
    </row>
    <row r="823" spans="1:7" x14ac:dyDescent="0.35">
      <c r="A823" t="str">
        <f>"27.0502"</f>
        <v>27.0502</v>
      </c>
      <c r="B823" t="s">
        <v>1824</v>
      </c>
      <c r="C823" s="8" t="s">
        <v>1825</v>
      </c>
      <c r="D823" t="s">
        <v>250</v>
      </c>
      <c r="E823" t="s">
        <v>251</v>
      </c>
      <c r="F823" t="str">
        <f>"27.0502"</f>
        <v>27.0502</v>
      </c>
      <c r="G823" s="8" t="s">
        <v>1825</v>
      </c>
    </row>
    <row r="824" spans="1:7" x14ac:dyDescent="0.35">
      <c r="A824" t="str">
        <f>"27.0503"</f>
        <v>27.0503</v>
      </c>
      <c r="B824" t="s">
        <v>1826</v>
      </c>
      <c r="C824" s="8" t="s">
        <v>1827</v>
      </c>
      <c r="D824" t="s">
        <v>250</v>
      </c>
      <c r="E824" t="s">
        <v>251</v>
      </c>
      <c r="F824" t="str">
        <f>"27.0503"</f>
        <v>27.0503</v>
      </c>
      <c r="G824" s="8" t="s">
        <v>1827</v>
      </c>
    </row>
    <row r="825" spans="1:7" x14ac:dyDescent="0.35">
      <c r="A825" t="str">
        <f>"27.0599"</f>
        <v>27.0599</v>
      </c>
      <c r="B825" t="s">
        <v>1828</v>
      </c>
      <c r="C825" s="8" t="s">
        <v>1829</v>
      </c>
      <c r="D825" t="s">
        <v>250</v>
      </c>
      <c r="E825" t="s">
        <v>251</v>
      </c>
      <c r="F825" t="str">
        <f>"27.0599"</f>
        <v>27.0599</v>
      </c>
      <c r="G825" s="8" t="s">
        <v>1829</v>
      </c>
    </row>
    <row r="826" spans="1:7" x14ac:dyDescent="0.35">
      <c r="D826" t="s">
        <v>275</v>
      </c>
      <c r="E826" t="s">
        <v>251</v>
      </c>
      <c r="F826" t="str">
        <f>"27.0601"</f>
        <v>27.0601</v>
      </c>
      <c r="G826" s="8" t="s">
        <v>1830</v>
      </c>
    </row>
    <row r="827" spans="1:7" x14ac:dyDescent="0.35">
      <c r="A827" t="str">
        <f>"27.9999"</f>
        <v>27.9999</v>
      </c>
      <c r="B827" t="s">
        <v>1831</v>
      </c>
      <c r="C827" s="8" t="s">
        <v>1832</v>
      </c>
      <c r="D827" t="s">
        <v>250</v>
      </c>
      <c r="E827" t="s">
        <v>251</v>
      </c>
      <c r="F827" t="str">
        <f>"27.9999"</f>
        <v>27.9999</v>
      </c>
      <c r="G827" s="8" t="s">
        <v>1832</v>
      </c>
    </row>
    <row r="828" spans="1:7" x14ac:dyDescent="0.35">
      <c r="A828" t="str">
        <f>"28.0101"</f>
        <v>28.0101</v>
      </c>
      <c r="B828" t="s">
        <v>1833</v>
      </c>
      <c r="C828" s="8" t="s">
        <v>1834</v>
      </c>
      <c r="D828" t="s">
        <v>250</v>
      </c>
      <c r="E828" t="s">
        <v>251</v>
      </c>
      <c r="F828" t="str">
        <f>"28.0101"</f>
        <v>28.0101</v>
      </c>
      <c r="G828" s="8" t="s">
        <v>1834</v>
      </c>
    </row>
    <row r="829" spans="1:7" ht="29" x14ac:dyDescent="0.35">
      <c r="A829" t="str">
        <f>"28.0199"</f>
        <v>28.0199</v>
      </c>
      <c r="B829" t="s">
        <v>1835</v>
      </c>
      <c r="C829" s="8" t="s">
        <v>1836</v>
      </c>
      <c r="D829" t="s">
        <v>250</v>
      </c>
      <c r="E829" t="s">
        <v>251</v>
      </c>
      <c r="F829" t="str">
        <f>"28.0199"</f>
        <v>28.0199</v>
      </c>
      <c r="G829" s="8" t="s">
        <v>1836</v>
      </c>
    </row>
    <row r="830" spans="1:7" x14ac:dyDescent="0.35">
      <c r="A830" t="str">
        <f>"28.0301"</f>
        <v>28.0301</v>
      </c>
      <c r="B830" t="s">
        <v>1837</v>
      </c>
      <c r="C830" s="8" t="s">
        <v>1838</v>
      </c>
      <c r="D830" t="s">
        <v>250</v>
      </c>
      <c r="E830" t="s">
        <v>251</v>
      </c>
      <c r="F830" t="str">
        <f>"28.0301"</f>
        <v>28.0301</v>
      </c>
      <c r="G830" s="8" t="s">
        <v>1838</v>
      </c>
    </row>
    <row r="831" spans="1:7" ht="29" x14ac:dyDescent="0.35">
      <c r="A831" t="str">
        <f>"28.0399"</f>
        <v>28.0399</v>
      </c>
      <c r="B831" t="s">
        <v>1839</v>
      </c>
      <c r="C831" s="8" t="s">
        <v>1840</v>
      </c>
      <c r="D831" t="s">
        <v>250</v>
      </c>
      <c r="E831" t="s">
        <v>251</v>
      </c>
      <c r="F831" t="str">
        <f>"28.0399"</f>
        <v>28.0399</v>
      </c>
      <c r="G831" s="8" t="s">
        <v>1840</v>
      </c>
    </row>
    <row r="832" spans="1:7" x14ac:dyDescent="0.35">
      <c r="A832" t="str">
        <f>"28.0401"</f>
        <v>28.0401</v>
      </c>
      <c r="B832" t="s">
        <v>1841</v>
      </c>
      <c r="C832" s="8" t="s">
        <v>1842</v>
      </c>
      <c r="D832" t="s">
        <v>250</v>
      </c>
      <c r="E832" t="s">
        <v>251</v>
      </c>
      <c r="F832" t="str">
        <f>"28.0401"</f>
        <v>28.0401</v>
      </c>
      <c r="G832" s="8" t="s">
        <v>1842</v>
      </c>
    </row>
    <row r="833" spans="1:7" ht="29" x14ac:dyDescent="0.35">
      <c r="A833" t="str">
        <f>"28.0499"</f>
        <v>28.0499</v>
      </c>
      <c r="B833" t="s">
        <v>1843</v>
      </c>
      <c r="C833" s="8" t="s">
        <v>1844</v>
      </c>
      <c r="D833" t="s">
        <v>250</v>
      </c>
      <c r="E833" t="s">
        <v>251</v>
      </c>
      <c r="F833" t="str">
        <f>"28.0499"</f>
        <v>28.0499</v>
      </c>
      <c r="G833" s="8" t="s">
        <v>1844</v>
      </c>
    </row>
    <row r="834" spans="1:7" x14ac:dyDescent="0.35">
      <c r="A834" t="str">
        <f>"28.0501"</f>
        <v>28.0501</v>
      </c>
      <c r="B834" t="s">
        <v>1845</v>
      </c>
      <c r="C834" s="8" t="s">
        <v>1846</v>
      </c>
      <c r="D834" t="s">
        <v>250</v>
      </c>
      <c r="E834" t="s">
        <v>251</v>
      </c>
      <c r="F834" t="str">
        <f>"28.0501"</f>
        <v>28.0501</v>
      </c>
      <c r="G834" s="8" t="s">
        <v>1846</v>
      </c>
    </row>
    <row r="835" spans="1:7" x14ac:dyDescent="0.35">
      <c r="A835" t="str">
        <f>"28.0502"</f>
        <v>28.0502</v>
      </c>
      <c r="B835" t="s">
        <v>1847</v>
      </c>
      <c r="C835" s="8" t="s">
        <v>1848</v>
      </c>
      <c r="D835" t="s">
        <v>250</v>
      </c>
      <c r="E835" t="s">
        <v>251</v>
      </c>
      <c r="F835" t="str">
        <f>"28.0502"</f>
        <v>28.0502</v>
      </c>
      <c r="G835" s="8" t="s">
        <v>1848</v>
      </c>
    </row>
    <row r="836" spans="1:7" ht="29" x14ac:dyDescent="0.35">
      <c r="A836" t="str">
        <f>"28.0503"</f>
        <v>28.0503</v>
      </c>
      <c r="B836" t="s">
        <v>1849</v>
      </c>
      <c r="C836" s="8" t="s">
        <v>1850</v>
      </c>
      <c r="D836" t="s">
        <v>250</v>
      </c>
      <c r="E836" t="s">
        <v>251</v>
      </c>
      <c r="F836" t="str">
        <f>"28.0503"</f>
        <v>28.0503</v>
      </c>
      <c r="G836" s="8" t="s">
        <v>1850</v>
      </c>
    </row>
    <row r="837" spans="1:7" ht="29" x14ac:dyDescent="0.35">
      <c r="A837" t="str">
        <f>"28.0504"</f>
        <v>28.0504</v>
      </c>
      <c r="B837" t="s">
        <v>1851</v>
      </c>
      <c r="C837" s="8" t="s">
        <v>1852</v>
      </c>
      <c r="D837" t="s">
        <v>250</v>
      </c>
      <c r="E837" t="s">
        <v>251</v>
      </c>
      <c r="F837" t="str">
        <f>"28.0504"</f>
        <v>28.0504</v>
      </c>
      <c r="G837" s="8" t="s">
        <v>1852</v>
      </c>
    </row>
    <row r="838" spans="1:7" x14ac:dyDescent="0.35">
      <c r="A838" t="str">
        <f>"28.0505"</f>
        <v>28.0505</v>
      </c>
      <c r="B838" t="s">
        <v>1853</v>
      </c>
      <c r="C838" s="8" t="s">
        <v>1854</v>
      </c>
      <c r="D838" t="s">
        <v>250</v>
      </c>
      <c r="E838" t="s">
        <v>251</v>
      </c>
      <c r="F838" t="str">
        <f>"28.0505"</f>
        <v>28.0505</v>
      </c>
      <c r="G838" s="8" t="s">
        <v>1854</v>
      </c>
    </row>
    <row r="839" spans="1:7" ht="29" x14ac:dyDescent="0.35">
      <c r="A839" t="str">
        <f>"28.0506"</f>
        <v>28.0506</v>
      </c>
      <c r="B839" t="s">
        <v>1855</v>
      </c>
      <c r="C839" s="8" t="s">
        <v>1856</v>
      </c>
      <c r="D839" t="s">
        <v>250</v>
      </c>
      <c r="E839" t="s">
        <v>251</v>
      </c>
      <c r="F839" t="str">
        <f>"28.0506"</f>
        <v>28.0506</v>
      </c>
      <c r="G839" s="8" t="s">
        <v>1856</v>
      </c>
    </row>
    <row r="840" spans="1:7" ht="29" x14ac:dyDescent="0.35">
      <c r="A840" t="str">
        <f>"28.0599"</f>
        <v>28.0599</v>
      </c>
      <c r="B840" t="s">
        <v>1857</v>
      </c>
      <c r="C840" s="8" t="s">
        <v>1858</v>
      </c>
      <c r="D840" t="s">
        <v>250</v>
      </c>
      <c r="E840" t="s">
        <v>251</v>
      </c>
      <c r="F840" t="str">
        <f>"28.0599"</f>
        <v>28.0599</v>
      </c>
      <c r="G840" s="8" t="s">
        <v>1858</v>
      </c>
    </row>
    <row r="841" spans="1:7" x14ac:dyDescent="0.35">
      <c r="A841" t="str">
        <f>"28.0601"</f>
        <v>28.0601</v>
      </c>
      <c r="B841" t="s">
        <v>1859</v>
      </c>
      <c r="C841" s="8" t="s">
        <v>1860</v>
      </c>
      <c r="D841" t="s">
        <v>250</v>
      </c>
      <c r="E841" t="s">
        <v>251</v>
      </c>
      <c r="F841" t="str">
        <f>"28.0601"</f>
        <v>28.0601</v>
      </c>
      <c r="G841" s="8" t="s">
        <v>1860</v>
      </c>
    </row>
    <row r="842" spans="1:7" x14ac:dyDescent="0.35">
      <c r="A842" t="str">
        <f>"28.0602"</f>
        <v>28.0602</v>
      </c>
      <c r="B842" t="s">
        <v>1861</v>
      </c>
      <c r="C842" s="8" t="s">
        <v>1862</v>
      </c>
      <c r="D842" t="s">
        <v>250</v>
      </c>
      <c r="E842" t="s">
        <v>251</v>
      </c>
      <c r="F842" t="str">
        <f>"28.0602"</f>
        <v>28.0602</v>
      </c>
      <c r="G842" s="8" t="s">
        <v>1862</v>
      </c>
    </row>
    <row r="843" spans="1:7" ht="29" x14ac:dyDescent="0.35">
      <c r="A843" t="str">
        <f>"28.0603"</f>
        <v>28.0603</v>
      </c>
      <c r="B843" t="s">
        <v>1863</v>
      </c>
      <c r="C843" s="8" t="s">
        <v>1864</v>
      </c>
      <c r="D843" t="s">
        <v>250</v>
      </c>
      <c r="E843" t="s">
        <v>251</v>
      </c>
      <c r="F843" t="str">
        <f>"28.0603"</f>
        <v>28.0603</v>
      </c>
      <c r="G843" s="8" t="s">
        <v>1864</v>
      </c>
    </row>
    <row r="844" spans="1:7" x14ac:dyDescent="0.35">
      <c r="A844" t="str">
        <f>"28.0604"</f>
        <v>28.0604</v>
      </c>
      <c r="B844" t="s">
        <v>1865</v>
      </c>
      <c r="C844" s="8" t="s">
        <v>1866</v>
      </c>
      <c r="D844" t="s">
        <v>250</v>
      </c>
      <c r="E844" t="s">
        <v>251</v>
      </c>
      <c r="F844" t="str">
        <f>"28.0604"</f>
        <v>28.0604</v>
      </c>
      <c r="G844" s="8" t="s">
        <v>1866</v>
      </c>
    </row>
    <row r="845" spans="1:7" x14ac:dyDescent="0.35">
      <c r="A845" t="str">
        <f>"28.0605"</f>
        <v>28.0605</v>
      </c>
      <c r="B845" t="s">
        <v>1867</v>
      </c>
      <c r="C845" s="8" t="s">
        <v>1868</v>
      </c>
      <c r="D845" t="s">
        <v>250</v>
      </c>
      <c r="E845" t="s">
        <v>251</v>
      </c>
      <c r="F845" t="str">
        <f>"28.0605"</f>
        <v>28.0605</v>
      </c>
      <c r="G845" s="8" t="s">
        <v>1868</v>
      </c>
    </row>
    <row r="846" spans="1:7" ht="29" x14ac:dyDescent="0.35">
      <c r="A846" t="str">
        <f>"28.0699"</f>
        <v>28.0699</v>
      </c>
      <c r="B846" t="s">
        <v>1869</v>
      </c>
      <c r="C846" s="8" t="s">
        <v>1870</v>
      </c>
      <c r="D846" t="s">
        <v>250</v>
      </c>
      <c r="E846" t="s">
        <v>251</v>
      </c>
      <c r="F846" t="str">
        <f>"28.0699"</f>
        <v>28.0699</v>
      </c>
      <c r="G846" s="8" t="s">
        <v>1870</v>
      </c>
    </row>
    <row r="847" spans="1:7" x14ac:dyDescent="0.35">
      <c r="A847" t="str">
        <f>"28.0701"</f>
        <v>28.0701</v>
      </c>
      <c r="B847" t="s">
        <v>1871</v>
      </c>
      <c r="C847" s="8" t="s">
        <v>1872</v>
      </c>
      <c r="D847" t="s">
        <v>250</v>
      </c>
      <c r="E847" t="s">
        <v>251</v>
      </c>
      <c r="F847" t="str">
        <f>"28.0701"</f>
        <v>28.0701</v>
      </c>
      <c r="G847" s="8" t="s">
        <v>1872</v>
      </c>
    </row>
    <row r="848" spans="1:7" x14ac:dyDescent="0.35">
      <c r="A848" t="str">
        <f>"28.0702"</f>
        <v>28.0702</v>
      </c>
      <c r="B848" t="s">
        <v>1873</v>
      </c>
      <c r="C848" s="8" t="s">
        <v>1874</v>
      </c>
      <c r="D848" t="s">
        <v>250</v>
      </c>
      <c r="E848" t="s">
        <v>251</v>
      </c>
      <c r="F848" t="str">
        <f>"28.0702"</f>
        <v>28.0702</v>
      </c>
      <c r="G848" s="8" t="s">
        <v>1874</v>
      </c>
    </row>
    <row r="849" spans="1:7" x14ac:dyDescent="0.35">
      <c r="A849" t="str">
        <f>"28.0703"</f>
        <v>28.0703</v>
      </c>
      <c r="B849" t="s">
        <v>1875</v>
      </c>
      <c r="C849" s="8" t="s">
        <v>1876</v>
      </c>
      <c r="D849" t="s">
        <v>250</v>
      </c>
      <c r="E849" t="s">
        <v>251</v>
      </c>
      <c r="F849" t="str">
        <f>"28.0703"</f>
        <v>28.0703</v>
      </c>
      <c r="G849" s="8" t="s">
        <v>1876</v>
      </c>
    </row>
    <row r="850" spans="1:7" ht="29" x14ac:dyDescent="0.35">
      <c r="A850" t="str">
        <f>"28.0799"</f>
        <v>28.0799</v>
      </c>
      <c r="B850" t="s">
        <v>1877</v>
      </c>
      <c r="C850" s="8" t="s">
        <v>1878</v>
      </c>
      <c r="D850" t="s">
        <v>250</v>
      </c>
      <c r="E850" t="s">
        <v>251</v>
      </c>
      <c r="F850" t="str">
        <f>"28.0799"</f>
        <v>28.0799</v>
      </c>
      <c r="G850" s="8" t="s">
        <v>1878</v>
      </c>
    </row>
    <row r="851" spans="1:7" x14ac:dyDescent="0.35">
      <c r="D851" t="s">
        <v>275</v>
      </c>
      <c r="E851" t="s">
        <v>251</v>
      </c>
      <c r="F851" t="str">
        <f>"28.0801"</f>
        <v>28.0801</v>
      </c>
      <c r="G851" s="8" t="s">
        <v>301</v>
      </c>
    </row>
    <row r="852" spans="1:7" ht="29" x14ac:dyDescent="0.35">
      <c r="A852" t="str">
        <f>"28.9999"</f>
        <v>28.9999</v>
      </c>
      <c r="B852" t="s">
        <v>1879</v>
      </c>
      <c r="C852" s="8" t="s">
        <v>1880</v>
      </c>
      <c r="D852" t="s">
        <v>250</v>
      </c>
      <c r="E852" t="s">
        <v>251</v>
      </c>
      <c r="F852" t="str">
        <f>"28.9999"</f>
        <v>28.9999</v>
      </c>
      <c r="G852" s="8" t="s">
        <v>1880</v>
      </c>
    </row>
    <row r="853" spans="1:7" x14ac:dyDescent="0.35">
      <c r="A853" t="str">
        <f>"29.0201"</f>
        <v>29.0201</v>
      </c>
      <c r="B853" t="s">
        <v>1881</v>
      </c>
      <c r="C853" s="8" t="s">
        <v>1882</v>
      </c>
      <c r="D853" t="s">
        <v>250</v>
      </c>
      <c r="E853" t="s">
        <v>251</v>
      </c>
      <c r="F853" t="str">
        <f>"29.0201"</f>
        <v>29.0201</v>
      </c>
      <c r="G853" s="8" t="s">
        <v>1882</v>
      </c>
    </row>
    <row r="854" spans="1:7" x14ac:dyDescent="0.35">
      <c r="A854" t="str">
        <f>"29.0202"</f>
        <v>29.0202</v>
      </c>
      <c r="B854" t="s">
        <v>1883</v>
      </c>
      <c r="C854" s="8" t="s">
        <v>1884</v>
      </c>
      <c r="D854" t="s">
        <v>250</v>
      </c>
      <c r="E854" t="s">
        <v>251</v>
      </c>
      <c r="F854" t="str">
        <f>"29.0202"</f>
        <v>29.0202</v>
      </c>
      <c r="G854" s="8" t="s">
        <v>1884</v>
      </c>
    </row>
    <row r="855" spans="1:7" x14ac:dyDescent="0.35">
      <c r="A855" t="str">
        <f>"29.0203"</f>
        <v>29.0203</v>
      </c>
      <c r="B855" t="s">
        <v>1885</v>
      </c>
      <c r="C855" s="8" t="s">
        <v>1886</v>
      </c>
      <c r="D855" t="s">
        <v>250</v>
      </c>
      <c r="E855" t="s">
        <v>251</v>
      </c>
      <c r="F855" t="str">
        <f>"29.0203"</f>
        <v>29.0203</v>
      </c>
      <c r="G855" s="8" t="s">
        <v>1886</v>
      </c>
    </row>
    <row r="856" spans="1:7" ht="29" x14ac:dyDescent="0.35">
      <c r="A856" t="str">
        <f>"29.0204"</f>
        <v>29.0204</v>
      </c>
      <c r="B856" t="s">
        <v>1887</v>
      </c>
      <c r="C856" s="8" t="s">
        <v>1888</v>
      </c>
      <c r="D856" t="s">
        <v>250</v>
      </c>
      <c r="E856" t="s">
        <v>251</v>
      </c>
      <c r="F856" t="str">
        <f>"29.0204"</f>
        <v>29.0204</v>
      </c>
      <c r="G856" s="8" t="s">
        <v>1888</v>
      </c>
    </row>
    <row r="857" spans="1:7" ht="29" x14ac:dyDescent="0.35">
      <c r="A857" t="str">
        <f>"29.0205"</f>
        <v>29.0205</v>
      </c>
      <c r="B857" t="s">
        <v>1889</v>
      </c>
      <c r="C857" s="8" t="s">
        <v>1890</v>
      </c>
      <c r="D857" t="s">
        <v>250</v>
      </c>
      <c r="E857" t="s">
        <v>251</v>
      </c>
      <c r="F857" t="str">
        <f>"29.0205"</f>
        <v>29.0205</v>
      </c>
      <c r="G857" s="8" t="s">
        <v>1890</v>
      </c>
    </row>
    <row r="858" spans="1:7" ht="29" x14ac:dyDescent="0.35">
      <c r="A858" t="str">
        <f>"29.0206"</f>
        <v>29.0206</v>
      </c>
      <c r="B858" t="s">
        <v>1891</v>
      </c>
      <c r="C858" s="8" t="s">
        <v>1892</v>
      </c>
      <c r="D858" t="s">
        <v>250</v>
      </c>
      <c r="E858" t="s">
        <v>251</v>
      </c>
      <c r="F858" t="str">
        <f>"29.0206"</f>
        <v>29.0206</v>
      </c>
      <c r="G858" s="8" t="s">
        <v>1892</v>
      </c>
    </row>
    <row r="859" spans="1:7" x14ac:dyDescent="0.35">
      <c r="A859" t="str">
        <f>"29.0207"</f>
        <v>29.0207</v>
      </c>
      <c r="B859" t="s">
        <v>1893</v>
      </c>
      <c r="C859" s="8" t="s">
        <v>1894</v>
      </c>
      <c r="D859" t="s">
        <v>250</v>
      </c>
      <c r="E859" t="s">
        <v>251</v>
      </c>
      <c r="F859" t="str">
        <f>"29.0207"</f>
        <v>29.0207</v>
      </c>
      <c r="G859" s="8" t="s">
        <v>1894</v>
      </c>
    </row>
    <row r="860" spans="1:7" ht="29" x14ac:dyDescent="0.35">
      <c r="A860" t="str">
        <f>"29.0299"</f>
        <v>29.0299</v>
      </c>
      <c r="B860" t="s">
        <v>1895</v>
      </c>
      <c r="C860" s="8" t="s">
        <v>1896</v>
      </c>
      <c r="D860" t="s">
        <v>250</v>
      </c>
      <c r="E860" t="s">
        <v>251</v>
      </c>
      <c r="F860" t="str">
        <f>"29.0299"</f>
        <v>29.0299</v>
      </c>
      <c r="G860" s="8" t="s">
        <v>1896</v>
      </c>
    </row>
    <row r="861" spans="1:7" x14ac:dyDescent="0.35">
      <c r="A861" t="str">
        <f>"29.0301"</f>
        <v>29.0301</v>
      </c>
      <c r="B861" t="s">
        <v>1897</v>
      </c>
      <c r="C861" s="8" t="s">
        <v>1898</v>
      </c>
      <c r="D861" t="s">
        <v>250</v>
      </c>
      <c r="E861" t="s">
        <v>251</v>
      </c>
      <c r="F861" t="str">
        <f>"29.0301"</f>
        <v>29.0301</v>
      </c>
      <c r="G861" s="8" t="s">
        <v>1898</v>
      </c>
    </row>
    <row r="862" spans="1:7" x14ac:dyDescent="0.35">
      <c r="A862" t="str">
        <f>"29.0302"</f>
        <v>29.0302</v>
      </c>
      <c r="B862" t="s">
        <v>1899</v>
      </c>
      <c r="C862" s="8" t="s">
        <v>1900</v>
      </c>
      <c r="D862" t="s">
        <v>250</v>
      </c>
      <c r="E862" t="s">
        <v>251</v>
      </c>
      <c r="F862" t="str">
        <f>"29.0302"</f>
        <v>29.0302</v>
      </c>
      <c r="G862" s="8" t="s">
        <v>1900</v>
      </c>
    </row>
    <row r="863" spans="1:7" x14ac:dyDescent="0.35">
      <c r="A863" t="str">
        <f>"29.0303"</f>
        <v>29.0303</v>
      </c>
      <c r="B863" t="s">
        <v>1901</v>
      </c>
      <c r="C863" s="8" t="s">
        <v>1902</v>
      </c>
      <c r="D863" t="s">
        <v>250</v>
      </c>
      <c r="E863" t="s">
        <v>251</v>
      </c>
      <c r="F863" t="str">
        <f>"29.0303"</f>
        <v>29.0303</v>
      </c>
      <c r="G863" s="8" t="s">
        <v>1902</v>
      </c>
    </row>
    <row r="864" spans="1:7" x14ac:dyDescent="0.35">
      <c r="A864" t="str">
        <f>"29.0304"</f>
        <v>29.0304</v>
      </c>
      <c r="B864" t="s">
        <v>1903</v>
      </c>
      <c r="C864" s="8" t="s">
        <v>1904</v>
      </c>
      <c r="D864" t="s">
        <v>250</v>
      </c>
      <c r="E864" t="s">
        <v>251</v>
      </c>
      <c r="F864" t="str">
        <f>"29.0304"</f>
        <v>29.0304</v>
      </c>
      <c r="G864" s="8" t="s">
        <v>1904</v>
      </c>
    </row>
    <row r="865" spans="1:7" x14ac:dyDescent="0.35">
      <c r="A865" t="str">
        <f>"29.0305"</f>
        <v>29.0305</v>
      </c>
      <c r="B865" t="s">
        <v>1905</v>
      </c>
      <c r="C865" s="8" t="s">
        <v>1906</v>
      </c>
      <c r="D865" t="s">
        <v>250</v>
      </c>
      <c r="E865" t="s">
        <v>251</v>
      </c>
      <c r="F865" t="str">
        <f>"29.0305"</f>
        <v>29.0305</v>
      </c>
      <c r="G865" s="8" t="s">
        <v>1906</v>
      </c>
    </row>
    <row r="866" spans="1:7" x14ac:dyDescent="0.35">
      <c r="A866" t="str">
        <f>"29.0306"</f>
        <v>29.0306</v>
      </c>
      <c r="B866" t="s">
        <v>1907</v>
      </c>
      <c r="C866" s="8" t="s">
        <v>1908</v>
      </c>
      <c r="D866" t="s">
        <v>250</v>
      </c>
      <c r="E866" t="s">
        <v>251</v>
      </c>
      <c r="F866" t="str">
        <f>"29.0306"</f>
        <v>29.0306</v>
      </c>
      <c r="G866" s="8" t="s">
        <v>1908</v>
      </c>
    </row>
    <row r="867" spans="1:7" x14ac:dyDescent="0.35">
      <c r="A867" t="str">
        <f>"29.0307"</f>
        <v>29.0307</v>
      </c>
      <c r="B867" t="s">
        <v>1909</v>
      </c>
      <c r="C867" s="8" t="s">
        <v>1910</v>
      </c>
      <c r="D867" t="s">
        <v>250</v>
      </c>
      <c r="E867" t="s">
        <v>251</v>
      </c>
      <c r="F867" t="str">
        <f>"29.0307"</f>
        <v>29.0307</v>
      </c>
      <c r="G867" s="8" t="s">
        <v>1910</v>
      </c>
    </row>
    <row r="868" spans="1:7" x14ac:dyDescent="0.35">
      <c r="A868" t="str">
        <f>"29.0399"</f>
        <v>29.0399</v>
      </c>
      <c r="B868" t="s">
        <v>1911</v>
      </c>
      <c r="C868" s="8" t="s">
        <v>1912</v>
      </c>
      <c r="D868" t="s">
        <v>250</v>
      </c>
      <c r="E868" t="s">
        <v>251</v>
      </c>
      <c r="F868" t="str">
        <f>"29.0399"</f>
        <v>29.0399</v>
      </c>
      <c r="G868" s="8" t="s">
        <v>1912</v>
      </c>
    </row>
    <row r="869" spans="1:7" ht="29" x14ac:dyDescent="0.35">
      <c r="A869" t="str">
        <f>"29.0401"</f>
        <v>29.0401</v>
      </c>
      <c r="B869" t="s">
        <v>1913</v>
      </c>
      <c r="C869" s="8" t="s">
        <v>1914</v>
      </c>
      <c r="D869" t="s">
        <v>250</v>
      </c>
      <c r="E869" t="s">
        <v>251</v>
      </c>
      <c r="F869" t="str">
        <f>"29.0401"</f>
        <v>29.0401</v>
      </c>
      <c r="G869" s="8" t="s">
        <v>1914</v>
      </c>
    </row>
    <row r="870" spans="1:7" x14ac:dyDescent="0.35">
      <c r="A870" t="str">
        <f>"29.0402"</f>
        <v>29.0402</v>
      </c>
      <c r="B870" t="s">
        <v>1915</v>
      </c>
      <c r="C870" s="8" t="s">
        <v>1916</v>
      </c>
      <c r="D870" t="s">
        <v>250</v>
      </c>
      <c r="E870" t="s">
        <v>251</v>
      </c>
      <c r="F870" t="str">
        <f>"29.0402"</f>
        <v>29.0402</v>
      </c>
      <c r="G870" s="8" t="s">
        <v>1916</v>
      </c>
    </row>
    <row r="871" spans="1:7" x14ac:dyDescent="0.35">
      <c r="A871" t="str">
        <f>"29.0403"</f>
        <v>29.0403</v>
      </c>
      <c r="B871" t="s">
        <v>1917</v>
      </c>
      <c r="C871" s="8" t="s">
        <v>1918</v>
      </c>
      <c r="D871" t="s">
        <v>250</v>
      </c>
      <c r="E871" t="s">
        <v>251</v>
      </c>
      <c r="F871" t="str">
        <f>"29.0403"</f>
        <v>29.0403</v>
      </c>
      <c r="G871" s="8" t="s">
        <v>1918</v>
      </c>
    </row>
    <row r="872" spans="1:7" x14ac:dyDescent="0.35">
      <c r="A872" t="str">
        <f>"29.0404"</f>
        <v>29.0404</v>
      </c>
      <c r="B872" t="s">
        <v>1919</v>
      </c>
      <c r="C872" s="8" t="s">
        <v>1920</v>
      </c>
      <c r="D872" t="s">
        <v>250</v>
      </c>
      <c r="E872" t="s">
        <v>251</v>
      </c>
      <c r="F872" t="str">
        <f>"29.0404"</f>
        <v>29.0404</v>
      </c>
      <c r="G872" s="8" t="s">
        <v>1920</v>
      </c>
    </row>
    <row r="873" spans="1:7" ht="29" x14ac:dyDescent="0.35">
      <c r="A873" t="str">
        <f>"29.0405"</f>
        <v>29.0405</v>
      </c>
      <c r="B873" t="s">
        <v>1921</v>
      </c>
      <c r="C873" s="8" t="s">
        <v>1922</v>
      </c>
      <c r="D873" t="s">
        <v>250</v>
      </c>
      <c r="E873" t="s">
        <v>251</v>
      </c>
      <c r="F873" t="str">
        <f>"29.0405"</f>
        <v>29.0405</v>
      </c>
      <c r="G873" s="8" t="s">
        <v>1922</v>
      </c>
    </row>
    <row r="874" spans="1:7" x14ac:dyDescent="0.35">
      <c r="A874" t="str">
        <f>"29.0406"</f>
        <v>29.0406</v>
      </c>
      <c r="B874" t="s">
        <v>1923</v>
      </c>
      <c r="C874" s="8" t="s">
        <v>1924</v>
      </c>
      <c r="D874" t="s">
        <v>250</v>
      </c>
      <c r="E874" t="s">
        <v>251</v>
      </c>
      <c r="F874" t="str">
        <f>"29.0406"</f>
        <v>29.0406</v>
      </c>
      <c r="G874" s="8" t="s">
        <v>1924</v>
      </c>
    </row>
    <row r="875" spans="1:7" x14ac:dyDescent="0.35">
      <c r="A875" t="str">
        <f>"29.0407"</f>
        <v>29.0407</v>
      </c>
      <c r="B875" t="s">
        <v>1925</v>
      </c>
      <c r="C875" s="8" t="s">
        <v>1926</v>
      </c>
      <c r="D875" t="s">
        <v>250</v>
      </c>
      <c r="E875" t="s">
        <v>251</v>
      </c>
      <c r="F875" t="str">
        <f>"29.0407"</f>
        <v>29.0407</v>
      </c>
      <c r="G875" s="8" t="s">
        <v>1926</v>
      </c>
    </row>
    <row r="876" spans="1:7" ht="29" x14ac:dyDescent="0.35">
      <c r="A876" t="str">
        <f>"29.0408"</f>
        <v>29.0408</v>
      </c>
      <c r="B876" t="s">
        <v>1927</v>
      </c>
      <c r="C876" s="8" t="s">
        <v>1928</v>
      </c>
      <c r="D876" t="s">
        <v>250</v>
      </c>
      <c r="E876" t="s">
        <v>251</v>
      </c>
      <c r="F876" t="str">
        <f>"29.0408"</f>
        <v>29.0408</v>
      </c>
      <c r="G876" s="8" t="s">
        <v>1928</v>
      </c>
    </row>
    <row r="877" spans="1:7" ht="29" x14ac:dyDescent="0.35">
      <c r="A877" t="str">
        <f>"29.0409"</f>
        <v>29.0409</v>
      </c>
      <c r="B877" t="s">
        <v>1929</v>
      </c>
      <c r="C877" s="8" t="s">
        <v>1930</v>
      </c>
      <c r="D877" t="s">
        <v>250</v>
      </c>
      <c r="E877" t="s">
        <v>251</v>
      </c>
      <c r="F877" t="str">
        <f>"29.0409"</f>
        <v>29.0409</v>
      </c>
      <c r="G877" s="8" t="s">
        <v>1930</v>
      </c>
    </row>
    <row r="878" spans="1:7" ht="29" x14ac:dyDescent="0.35">
      <c r="A878" t="str">
        <f>"29.0499"</f>
        <v>29.0499</v>
      </c>
      <c r="B878" t="s">
        <v>1931</v>
      </c>
      <c r="C878" s="8" t="s">
        <v>1932</v>
      </c>
      <c r="D878" t="s">
        <v>250</v>
      </c>
      <c r="E878" t="s">
        <v>251</v>
      </c>
      <c r="F878" t="str">
        <f>"29.0499"</f>
        <v>29.0499</v>
      </c>
      <c r="G878" s="8" t="s">
        <v>1932</v>
      </c>
    </row>
    <row r="879" spans="1:7" x14ac:dyDescent="0.35">
      <c r="D879" t="s">
        <v>275</v>
      </c>
      <c r="E879" t="s">
        <v>251</v>
      </c>
      <c r="F879" t="str">
        <f>"29.0501"</f>
        <v>29.0501</v>
      </c>
      <c r="G879" s="8" t="s">
        <v>301</v>
      </c>
    </row>
    <row r="880" spans="1:7" ht="29" x14ac:dyDescent="0.35">
      <c r="D880" t="s">
        <v>275</v>
      </c>
      <c r="E880" t="s">
        <v>251</v>
      </c>
      <c r="F880" t="str">
        <f>"29.0601"</f>
        <v>29.0601</v>
      </c>
      <c r="G880" s="8" t="s">
        <v>1933</v>
      </c>
    </row>
    <row r="881" spans="1:7" ht="29" x14ac:dyDescent="0.35">
      <c r="A881" t="str">
        <f>"29.9999"</f>
        <v>29.9999</v>
      </c>
      <c r="B881" t="s">
        <v>1934</v>
      </c>
      <c r="C881" s="8" t="s">
        <v>1935</v>
      </c>
      <c r="D881" t="s">
        <v>250</v>
      </c>
      <c r="E881" t="s">
        <v>251</v>
      </c>
      <c r="F881" t="str">
        <f>"29.9999"</f>
        <v>29.9999</v>
      </c>
      <c r="G881" s="8" t="s">
        <v>1935</v>
      </c>
    </row>
    <row r="882" spans="1:7" x14ac:dyDescent="0.35">
      <c r="A882" t="str">
        <f>"30.0000"</f>
        <v>30.0000</v>
      </c>
      <c r="B882" t="s">
        <v>1936</v>
      </c>
      <c r="C882" s="8" t="s">
        <v>1937</v>
      </c>
      <c r="D882" t="s">
        <v>250</v>
      </c>
      <c r="E882" t="s">
        <v>251</v>
      </c>
      <c r="F882" t="str">
        <f>"30.0000"</f>
        <v>30.0000</v>
      </c>
      <c r="G882" s="8" t="s">
        <v>1937</v>
      </c>
    </row>
    <row r="883" spans="1:7" ht="29" x14ac:dyDescent="0.35">
      <c r="D883" t="s">
        <v>275</v>
      </c>
      <c r="E883" t="s">
        <v>251</v>
      </c>
      <c r="F883" t="str">
        <f>"30.0001"</f>
        <v>30.0001</v>
      </c>
      <c r="G883" s="8" t="s">
        <v>1938</v>
      </c>
    </row>
    <row r="884" spans="1:7" x14ac:dyDescent="0.35">
      <c r="A884" t="str">
        <f>"30.0101"</f>
        <v>30.0101</v>
      </c>
      <c r="B884" t="s">
        <v>1939</v>
      </c>
      <c r="C884" s="8" t="s">
        <v>1940</v>
      </c>
      <c r="D884" t="s">
        <v>250</v>
      </c>
      <c r="E884" t="s">
        <v>251</v>
      </c>
      <c r="F884" t="str">
        <f>"30.0101"</f>
        <v>30.0101</v>
      </c>
      <c r="G884" s="8" t="s">
        <v>1940</v>
      </c>
    </row>
    <row r="885" spans="1:7" x14ac:dyDescent="0.35">
      <c r="A885" t="str">
        <f>"30.0501"</f>
        <v>30.0501</v>
      </c>
      <c r="B885" t="s">
        <v>1941</v>
      </c>
      <c r="C885" s="8" t="s">
        <v>1942</v>
      </c>
      <c r="D885" t="s">
        <v>250</v>
      </c>
      <c r="E885" t="s">
        <v>251</v>
      </c>
      <c r="F885" t="str">
        <f>"30.0501"</f>
        <v>30.0501</v>
      </c>
      <c r="G885" s="8" t="s">
        <v>1942</v>
      </c>
    </row>
    <row r="886" spans="1:7" x14ac:dyDescent="0.35">
      <c r="A886" t="str">
        <f>"30.0601"</f>
        <v>30.0601</v>
      </c>
      <c r="B886" t="s">
        <v>1943</v>
      </c>
      <c r="C886" s="8" t="s">
        <v>1944</v>
      </c>
      <c r="D886" t="s">
        <v>250</v>
      </c>
      <c r="E886" t="s">
        <v>251</v>
      </c>
      <c r="F886" t="str">
        <f>"30.0601"</f>
        <v>30.0601</v>
      </c>
      <c r="G886" s="8" t="s">
        <v>1944</v>
      </c>
    </row>
    <row r="887" spans="1:7" x14ac:dyDescent="0.35">
      <c r="A887" t="str">
        <f>"30.0801"</f>
        <v>30.0801</v>
      </c>
      <c r="B887" t="s">
        <v>1945</v>
      </c>
      <c r="C887" s="8" t="s">
        <v>1946</v>
      </c>
      <c r="D887" t="s">
        <v>250</v>
      </c>
      <c r="E887" t="s">
        <v>251</v>
      </c>
      <c r="F887" t="str">
        <f>"30.0801"</f>
        <v>30.0801</v>
      </c>
      <c r="G887" s="8" t="s">
        <v>1946</v>
      </c>
    </row>
    <row r="888" spans="1:7" x14ac:dyDescent="0.35">
      <c r="A888" t="str">
        <f>"30.1001"</f>
        <v>30.1001</v>
      </c>
      <c r="B888" t="s">
        <v>1947</v>
      </c>
      <c r="C888" s="8" t="s">
        <v>1948</v>
      </c>
      <c r="D888" t="s">
        <v>250</v>
      </c>
      <c r="E888" t="s">
        <v>251</v>
      </c>
      <c r="F888" t="str">
        <f>"30.1001"</f>
        <v>30.1001</v>
      </c>
      <c r="G888" s="8" t="s">
        <v>1948</v>
      </c>
    </row>
    <row r="889" spans="1:7" x14ac:dyDescent="0.35">
      <c r="A889" t="str">
        <f>"30.1101"</f>
        <v>30.1101</v>
      </c>
      <c r="B889" t="s">
        <v>1949</v>
      </c>
      <c r="C889" s="8" t="s">
        <v>1950</v>
      </c>
      <c r="D889" t="s">
        <v>250</v>
      </c>
      <c r="E889" t="s">
        <v>251</v>
      </c>
      <c r="F889" t="str">
        <f>"30.1101"</f>
        <v>30.1101</v>
      </c>
      <c r="G889" s="8" t="s">
        <v>1950</v>
      </c>
    </row>
    <row r="890" spans="1:7" x14ac:dyDescent="0.35">
      <c r="A890" t="str">
        <f>"30.1201"</f>
        <v>30.1201</v>
      </c>
      <c r="B890" t="s">
        <v>1951</v>
      </c>
      <c r="C890" s="8" t="s">
        <v>1952</v>
      </c>
      <c r="D890" t="s">
        <v>250</v>
      </c>
      <c r="E890" t="s">
        <v>264</v>
      </c>
      <c r="F890" t="str">
        <f>"30.1201"</f>
        <v>30.1201</v>
      </c>
      <c r="G890" s="8" t="s">
        <v>1953</v>
      </c>
    </row>
    <row r="891" spans="1:7" ht="29" x14ac:dyDescent="0.35">
      <c r="A891" t="str">
        <f>"30.1202"</f>
        <v>30.1202</v>
      </c>
      <c r="B891" t="s">
        <v>1954</v>
      </c>
      <c r="C891" s="8" t="s">
        <v>1955</v>
      </c>
      <c r="D891" t="s">
        <v>250</v>
      </c>
      <c r="E891" t="s">
        <v>251</v>
      </c>
      <c r="F891" t="str">
        <f>"30.1202"</f>
        <v>30.1202</v>
      </c>
      <c r="G891" s="8" t="s">
        <v>1955</v>
      </c>
    </row>
    <row r="892" spans="1:7" ht="29" x14ac:dyDescent="0.35">
      <c r="A892" t="str">
        <f>"30.1299"</f>
        <v>30.1299</v>
      </c>
      <c r="B892" t="s">
        <v>1956</v>
      </c>
      <c r="C892" s="8" t="s">
        <v>1957</v>
      </c>
      <c r="D892" t="s">
        <v>250</v>
      </c>
      <c r="E892" t="s">
        <v>251</v>
      </c>
      <c r="F892" t="str">
        <f>"30.1299"</f>
        <v>30.1299</v>
      </c>
      <c r="G892" s="8" t="s">
        <v>1957</v>
      </c>
    </row>
    <row r="893" spans="1:7" x14ac:dyDescent="0.35">
      <c r="A893" t="str">
        <f>"30.1301"</f>
        <v>30.1301</v>
      </c>
      <c r="B893" t="s">
        <v>1958</v>
      </c>
      <c r="C893" s="8" t="s">
        <v>1959</v>
      </c>
      <c r="D893" t="s">
        <v>250</v>
      </c>
      <c r="E893" t="s">
        <v>251</v>
      </c>
      <c r="F893" t="str">
        <f>"30.1301"</f>
        <v>30.1301</v>
      </c>
      <c r="G893" s="8" t="s">
        <v>1959</v>
      </c>
    </row>
    <row r="894" spans="1:7" x14ac:dyDescent="0.35">
      <c r="A894" t="str">
        <f>"30.1401"</f>
        <v>30.1401</v>
      </c>
      <c r="B894" t="s">
        <v>1960</v>
      </c>
      <c r="C894" s="8" t="s">
        <v>1961</v>
      </c>
      <c r="D894" t="s">
        <v>250</v>
      </c>
      <c r="E894" t="s">
        <v>251</v>
      </c>
      <c r="F894" t="str">
        <f>"30.1401"</f>
        <v>30.1401</v>
      </c>
      <c r="G894" s="8" t="s">
        <v>1961</v>
      </c>
    </row>
    <row r="895" spans="1:7" x14ac:dyDescent="0.35">
      <c r="A895" t="str">
        <f>"30.1501"</f>
        <v>30.1501</v>
      </c>
      <c r="B895" t="s">
        <v>1962</v>
      </c>
      <c r="C895" s="8" t="s">
        <v>1963</v>
      </c>
      <c r="D895" t="s">
        <v>250</v>
      </c>
      <c r="E895" t="s">
        <v>251</v>
      </c>
      <c r="F895" t="str">
        <f>"30.1501"</f>
        <v>30.1501</v>
      </c>
      <c r="G895" s="8" t="s">
        <v>1963</v>
      </c>
    </row>
    <row r="896" spans="1:7" x14ac:dyDescent="0.35">
      <c r="A896" t="str">
        <f>"30.1601"</f>
        <v>30.1601</v>
      </c>
      <c r="B896" t="s">
        <v>1964</v>
      </c>
      <c r="C896" s="8" t="s">
        <v>1965</v>
      </c>
      <c r="D896" t="s">
        <v>250</v>
      </c>
      <c r="E896" t="s">
        <v>251</v>
      </c>
      <c r="F896" t="str">
        <f>"30.1601"</f>
        <v>30.1601</v>
      </c>
      <c r="G896" s="8" t="s">
        <v>1965</v>
      </c>
    </row>
    <row r="897" spans="1:7" x14ac:dyDescent="0.35">
      <c r="A897" t="str">
        <f>"30.1701"</f>
        <v>30.1701</v>
      </c>
      <c r="B897" t="s">
        <v>1966</v>
      </c>
      <c r="C897" s="8" t="s">
        <v>1967</v>
      </c>
      <c r="D897" t="s">
        <v>250</v>
      </c>
      <c r="E897" t="s">
        <v>251</v>
      </c>
      <c r="F897" t="str">
        <f>"30.1701"</f>
        <v>30.1701</v>
      </c>
      <c r="G897" s="8" t="s">
        <v>1967</v>
      </c>
    </row>
    <row r="898" spans="1:7" x14ac:dyDescent="0.35">
      <c r="A898" t="str">
        <f>"30.1801"</f>
        <v>30.1801</v>
      </c>
      <c r="B898" t="s">
        <v>1968</v>
      </c>
      <c r="C898" s="8" t="s">
        <v>1969</v>
      </c>
      <c r="D898" t="s">
        <v>250</v>
      </c>
      <c r="E898" t="s">
        <v>251</v>
      </c>
      <c r="F898" t="str">
        <f>"30.1801"</f>
        <v>30.1801</v>
      </c>
      <c r="G898" s="8" t="s">
        <v>1969</v>
      </c>
    </row>
    <row r="899" spans="1:7" x14ac:dyDescent="0.35">
      <c r="A899" t="str">
        <f>"30.1901"</f>
        <v>30.1901</v>
      </c>
      <c r="B899" t="s">
        <v>1970</v>
      </c>
      <c r="C899" s="8" t="s">
        <v>1971</v>
      </c>
      <c r="D899" t="s">
        <v>250</v>
      </c>
      <c r="E899" t="s">
        <v>251</v>
      </c>
      <c r="F899" t="str">
        <f>"30.1901"</f>
        <v>30.1901</v>
      </c>
      <c r="G899" s="8" t="s">
        <v>1971</v>
      </c>
    </row>
    <row r="900" spans="1:7" x14ac:dyDescent="0.35">
      <c r="A900" t="str">
        <f>"30.2001"</f>
        <v>30.2001</v>
      </c>
      <c r="B900" t="s">
        <v>1972</v>
      </c>
      <c r="C900" s="8" t="s">
        <v>1973</v>
      </c>
      <c r="D900" t="s">
        <v>250</v>
      </c>
      <c r="E900" t="s">
        <v>264</v>
      </c>
      <c r="F900" t="str">
        <f>"30.2001"</f>
        <v>30.2001</v>
      </c>
      <c r="G900" s="8" t="s">
        <v>1974</v>
      </c>
    </row>
    <row r="901" spans="1:7" x14ac:dyDescent="0.35">
      <c r="A901" t="str">
        <f>"30.2101"</f>
        <v>30.2101</v>
      </c>
      <c r="B901" t="s">
        <v>1975</v>
      </c>
      <c r="C901" s="8" t="s">
        <v>1976</v>
      </c>
      <c r="D901" t="s">
        <v>250</v>
      </c>
      <c r="E901" t="s">
        <v>251</v>
      </c>
      <c r="F901" t="str">
        <f>"30.2101"</f>
        <v>30.2101</v>
      </c>
      <c r="G901" s="8" t="s">
        <v>1976</v>
      </c>
    </row>
    <row r="902" spans="1:7" x14ac:dyDescent="0.35">
      <c r="A902" t="str">
        <f>"30.2201"</f>
        <v>30.2201</v>
      </c>
      <c r="B902" t="s">
        <v>1977</v>
      </c>
      <c r="C902" s="8" t="s">
        <v>1978</v>
      </c>
      <c r="D902" t="s">
        <v>250</v>
      </c>
      <c r="E902" t="s">
        <v>251</v>
      </c>
      <c r="F902" t="str">
        <f>"30.2201"</f>
        <v>30.2201</v>
      </c>
      <c r="G902" s="8" t="s">
        <v>1978</v>
      </c>
    </row>
    <row r="903" spans="1:7" ht="29" x14ac:dyDescent="0.35">
      <c r="A903" t="str">
        <f>"30.2202"</f>
        <v>30.2202</v>
      </c>
      <c r="B903" t="s">
        <v>1979</v>
      </c>
      <c r="C903" s="8" t="s">
        <v>1980</v>
      </c>
      <c r="D903" t="s">
        <v>250</v>
      </c>
      <c r="E903" t="s">
        <v>264</v>
      </c>
      <c r="F903" t="str">
        <f>"30.2202"</f>
        <v>30.2202</v>
      </c>
      <c r="G903" s="8" t="s">
        <v>1981</v>
      </c>
    </row>
    <row r="904" spans="1:7" x14ac:dyDescent="0.35">
      <c r="D904" t="s">
        <v>275</v>
      </c>
      <c r="E904" t="s">
        <v>251</v>
      </c>
      <c r="F904" t="str">
        <f>"30.2299"</f>
        <v>30.2299</v>
      </c>
      <c r="G904" s="8" t="s">
        <v>1982</v>
      </c>
    </row>
    <row r="905" spans="1:7" ht="29" x14ac:dyDescent="0.35">
      <c r="A905" t="str">
        <f>"30.2301"</f>
        <v>30.2301</v>
      </c>
      <c r="B905" t="s">
        <v>1983</v>
      </c>
      <c r="C905" s="8" t="s">
        <v>1984</v>
      </c>
      <c r="D905" t="s">
        <v>250</v>
      </c>
      <c r="E905" t="s">
        <v>251</v>
      </c>
      <c r="F905" t="str">
        <f>"30.2301"</f>
        <v>30.2301</v>
      </c>
      <c r="G905" s="8" t="s">
        <v>1984</v>
      </c>
    </row>
    <row r="906" spans="1:7" x14ac:dyDescent="0.35">
      <c r="A906" t="str">
        <f>"30.2501"</f>
        <v>30.2501</v>
      </c>
      <c r="B906" t="s">
        <v>1985</v>
      </c>
      <c r="C906" s="8" t="s">
        <v>1986</v>
      </c>
      <c r="D906" t="s">
        <v>250</v>
      </c>
      <c r="E906" t="s">
        <v>264</v>
      </c>
      <c r="F906" t="str">
        <f>"30.2501"</f>
        <v>30.2501</v>
      </c>
      <c r="G906" s="8" t="s">
        <v>1987</v>
      </c>
    </row>
    <row r="907" spans="1:7" x14ac:dyDescent="0.35">
      <c r="D907" t="s">
        <v>275</v>
      </c>
      <c r="E907" t="s">
        <v>251</v>
      </c>
      <c r="F907" t="str">
        <f>"30.2502"</f>
        <v>30.2502</v>
      </c>
      <c r="G907" s="8" t="s">
        <v>1988</v>
      </c>
    </row>
    <row r="908" spans="1:7" x14ac:dyDescent="0.35">
      <c r="D908" t="s">
        <v>275</v>
      </c>
      <c r="E908" t="s">
        <v>251</v>
      </c>
      <c r="F908" t="str">
        <f>"30.2599"</f>
        <v>30.2599</v>
      </c>
      <c r="G908" s="8" t="s">
        <v>1989</v>
      </c>
    </row>
    <row r="909" spans="1:7" ht="29" x14ac:dyDescent="0.35">
      <c r="A909" t="str">
        <f>"30.2601"</f>
        <v>30.2601</v>
      </c>
      <c r="B909" t="s">
        <v>1990</v>
      </c>
      <c r="C909" s="8" t="s">
        <v>1991</v>
      </c>
      <c r="D909" t="s">
        <v>250</v>
      </c>
      <c r="E909" t="s">
        <v>251</v>
      </c>
      <c r="F909" t="str">
        <f>"30.2601"</f>
        <v>30.2601</v>
      </c>
      <c r="G909" s="8" t="s">
        <v>1991</v>
      </c>
    </row>
    <row r="910" spans="1:7" x14ac:dyDescent="0.35">
      <c r="A910" t="str">
        <f>"30.2701"</f>
        <v>30.2701</v>
      </c>
      <c r="B910" t="s">
        <v>1992</v>
      </c>
      <c r="C910" s="8" t="s">
        <v>1993</v>
      </c>
      <c r="D910" t="s">
        <v>250</v>
      </c>
      <c r="E910" t="s">
        <v>251</v>
      </c>
      <c r="F910" t="str">
        <f>"30.2701"</f>
        <v>30.2701</v>
      </c>
      <c r="G910" s="8" t="s">
        <v>1993</v>
      </c>
    </row>
    <row r="911" spans="1:7" x14ac:dyDescent="0.35">
      <c r="A911" t="str">
        <f>"30.2801"</f>
        <v>30.2801</v>
      </c>
      <c r="B911" t="s">
        <v>1994</v>
      </c>
      <c r="C911" s="8" t="s">
        <v>1995</v>
      </c>
      <c r="D911" t="s">
        <v>250</v>
      </c>
      <c r="E911" t="s">
        <v>251</v>
      </c>
      <c r="F911" t="str">
        <f>"30.2801"</f>
        <v>30.2801</v>
      </c>
      <c r="G911" s="8" t="s">
        <v>1995</v>
      </c>
    </row>
    <row r="912" spans="1:7" x14ac:dyDescent="0.35">
      <c r="A912" t="str">
        <f>"30.2901"</f>
        <v>30.2901</v>
      </c>
      <c r="B912" t="s">
        <v>1996</v>
      </c>
      <c r="C912" s="8" t="s">
        <v>1997</v>
      </c>
      <c r="D912" t="s">
        <v>250</v>
      </c>
      <c r="E912" t="s">
        <v>251</v>
      </c>
      <c r="F912" t="str">
        <f>"30.2901"</f>
        <v>30.2901</v>
      </c>
      <c r="G912" s="8" t="s">
        <v>1997</v>
      </c>
    </row>
    <row r="913" spans="1:7" x14ac:dyDescent="0.35">
      <c r="A913" t="str">
        <f>"30.3001"</f>
        <v>30.3001</v>
      </c>
      <c r="B913" t="s">
        <v>1998</v>
      </c>
      <c r="C913" s="8" t="s">
        <v>1999</v>
      </c>
      <c r="D913" t="s">
        <v>250</v>
      </c>
      <c r="E913" t="s">
        <v>251</v>
      </c>
      <c r="F913" t="str">
        <f>"30.3001"</f>
        <v>30.3001</v>
      </c>
      <c r="G913" s="8" t="s">
        <v>1999</v>
      </c>
    </row>
    <row r="914" spans="1:7" x14ac:dyDescent="0.35">
      <c r="A914" t="str">
        <f>"30.3101"</f>
        <v>30.3101</v>
      </c>
      <c r="B914" t="s">
        <v>2000</v>
      </c>
      <c r="C914" s="8" t="s">
        <v>2001</v>
      </c>
      <c r="D914" t="s">
        <v>250</v>
      </c>
      <c r="E914" t="s">
        <v>264</v>
      </c>
      <c r="F914" t="str">
        <f>"30.3101"</f>
        <v>30.3101</v>
      </c>
      <c r="G914" s="8" t="s">
        <v>2001</v>
      </c>
    </row>
    <row r="915" spans="1:7" x14ac:dyDescent="0.35">
      <c r="A915" t="str">
        <f>"30.3201"</f>
        <v>30.3201</v>
      </c>
      <c r="B915" t="s">
        <v>2002</v>
      </c>
      <c r="C915" s="8" t="s">
        <v>2003</v>
      </c>
      <c r="D915" t="s">
        <v>250</v>
      </c>
      <c r="E915" t="s">
        <v>251</v>
      </c>
      <c r="F915" t="str">
        <f>"30.3201"</f>
        <v>30.3201</v>
      </c>
      <c r="G915" s="8" t="s">
        <v>2003</v>
      </c>
    </row>
    <row r="916" spans="1:7" x14ac:dyDescent="0.35">
      <c r="A916" t="str">
        <f>"30.3301"</f>
        <v>30.3301</v>
      </c>
      <c r="B916" t="s">
        <v>2004</v>
      </c>
      <c r="C916" s="8" t="s">
        <v>2005</v>
      </c>
      <c r="D916" t="s">
        <v>250</v>
      </c>
      <c r="E916" t="s">
        <v>251</v>
      </c>
      <c r="F916" t="str">
        <f>"30.3301"</f>
        <v>30.3301</v>
      </c>
      <c r="G916" s="8" t="s">
        <v>2005</v>
      </c>
    </row>
    <row r="917" spans="1:7" x14ac:dyDescent="0.35">
      <c r="D917" t="s">
        <v>275</v>
      </c>
      <c r="E917" t="s">
        <v>251</v>
      </c>
      <c r="F917" t="str">
        <f>"30.3401"</f>
        <v>30.3401</v>
      </c>
      <c r="G917" s="8" t="s">
        <v>2006</v>
      </c>
    </row>
    <row r="918" spans="1:7" x14ac:dyDescent="0.35">
      <c r="D918" t="s">
        <v>275</v>
      </c>
      <c r="E918" t="s">
        <v>251</v>
      </c>
      <c r="F918" t="str">
        <f>"30.3501"</f>
        <v>30.3501</v>
      </c>
      <c r="G918" s="8" t="s">
        <v>2007</v>
      </c>
    </row>
    <row r="919" spans="1:7" x14ac:dyDescent="0.35">
      <c r="D919" t="s">
        <v>275</v>
      </c>
      <c r="E919" t="s">
        <v>251</v>
      </c>
      <c r="F919" t="str">
        <f>"30.3601"</f>
        <v>30.3601</v>
      </c>
      <c r="G919" s="8" t="s">
        <v>2008</v>
      </c>
    </row>
    <row r="920" spans="1:7" x14ac:dyDescent="0.35">
      <c r="D920" t="s">
        <v>275</v>
      </c>
      <c r="E920" t="s">
        <v>251</v>
      </c>
      <c r="F920" t="str">
        <f>"30.3701"</f>
        <v>30.3701</v>
      </c>
      <c r="G920" s="8" t="s">
        <v>2009</v>
      </c>
    </row>
    <row r="921" spans="1:7" x14ac:dyDescent="0.35">
      <c r="D921" t="s">
        <v>275</v>
      </c>
      <c r="E921" t="s">
        <v>251</v>
      </c>
      <c r="F921" t="str">
        <f>"30.3801"</f>
        <v>30.3801</v>
      </c>
      <c r="G921" s="8" t="s">
        <v>2010</v>
      </c>
    </row>
    <row r="922" spans="1:7" x14ac:dyDescent="0.35">
      <c r="D922" t="s">
        <v>275</v>
      </c>
      <c r="E922" t="s">
        <v>251</v>
      </c>
      <c r="F922" t="str">
        <f>"30.3901"</f>
        <v>30.3901</v>
      </c>
      <c r="G922" s="8" t="s">
        <v>2011</v>
      </c>
    </row>
    <row r="923" spans="1:7" x14ac:dyDescent="0.35">
      <c r="D923" t="s">
        <v>275</v>
      </c>
      <c r="E923" t="s">
        <v>251</v>
      </c>
      <c r="F923" t="str">
        <f>"30.4001"</f>
        <v>30.4001</v>
      </c>
      <c r="G923" s="8" t="s">
        <v>2012</v>
      </c>
    </row>
    <row r="924" spans="1:7" x14ac:dyDescent="0.35">
      <c r="D924" t="s">
        <v>275</v>
      </c>
      <c r="E924" t="s">
        <v>251</v>
      </c>
      <c r="F924" t="str">
        <f>"30.4101"</f>
        <v>30.4101</v>
      </c>
      <c r="G924" s="8" t="s">
        <v>2013</v>
      </c>
    </row>
    <row r="925" spans="1:7" x14ac:dyDescent="0.35">
      <c r="D925" t="s">
        <v>275</v>
      </c>
      <c r="E925" t="s">
        <v>251</v>
      </c>
      <c r="F925" t="str">
        <f>"30.4201"</f>
        <v>30.4201</v>
      </c>
      <c r="G925" s="8" t="s">
        <v>2014</v>
      </c>
    </row>
    <row r="926" spans="1:7" x14ac:dyDescent="0.35">
      <c r="D926" t="s">
        <v>275</v>
      </c>
      <c r="E926" t="s">
        <v>251</v>
      </c>
      <c r="F926" t="str">
        <f>"30.4301"</f>
        <v>30.4301</v>
      </c>
      <c r="G926" s="8" t="s">
        <v>2015</v>
      </c>
    </row>
    <row r="927" spans="1:7" x14ac:dyDescent="0.35">
      <c r="D927" t="s">
        <v>275</v>
      </c>
      <c r="E927" t="s">
        <v>251</v>
      </c>
      <c r="F927" t="str">
        <f>"30.4401"</f>
        <v>30.4401</v>
      </c>
      <c r="G927" s="8" t="s">
        <v>2016</v>
      </c>
    </row>
    <row r="928" spans="1:7" x14ac:dyDescent="0.35">
      <c r="D928" t="s">
        <v>275</v>
      </c>
      <c r="E928" t="s">
        <v>251</v>
      </c>
      <c r="F928" t="str">
        <f>"30.4501"</f>
        <v>30.4501</v>
      </c>
      <c r="G928" s="8" t="s">
        <v>2017</v>
      </c>
    </row>
    <row r="929" spans="4:7" x14ac:dyDescent="0.35">
      <c r="D929" t="s">
        <v>275</v>
      </c>
      <c r="E929" t="s">
        <v>251</v>
      </c>
      <c r="F929" t="str">
        <f>"30.4601"</f>
        <v>30.4601</v>
      </c>
      <c r="G929" s="8" t="s">
        <v>2018</v>
      </c>
    </row>
    <row r="930" spans="4:7" x14ac:dyDescent="0.35">
      <c r="D930" t="s">
        <v>275</v>
      </c>
      <c r="E930" t="s">
        <v>251</v>
      </c>
      <c r="F930" t="str">
        <f>"30.4701"</f>
        <v>30.4701</v>
      </c>
      <c r="G930" s="8" t="s">
        <v>2019</v>
      </c>
    </row>
    <row r="931" spans="4:7" x14ac:dyDescent="0.35">
      <c r="D931" t="s">
        <v>275</v>
      </c>
      <c r="E931" t="s">
        <v>251</v>
      </c>
      <c r="F931" t="str">
        <f>"30.4801"</f>
        <v>30.4801</v>
      </c>
      <c r="G931" s="8" t="s">
        <v>2020</v>
      </c>
    </row>
    <row r="932" spans="4:7" x14ac:dyDescent="0.35">
      <c r="D932" t="s">
        <v>275</v>
      </c>
      <c r="E932" t="s">
        <v>251</v>
      </c>
      <c r="F932" t="str">
        <f>"30.4901"</f>
        <v>30.4901</v>
      </c>
      <c r="G932" s="8" t="s">
        <v>2021</v>
      </c>
    </row>
    <row r="933" spans="4:7" x14ac:dyDescent="0.35">
      <c r="D933" t="s">
        <v>275</v>
      </c>
      <c r="E933" t="s">
        <v>251</v>
      </c>
      <c r="F933" t="str">
        <f>"30.5001"</f>
        <v>30.5001</v>
      </c>
      <c r="G933" s="8" t="s">
        <v>2022</v>
      </c>
    </row>
    <row r="934" spans="4:7" x14ac:dyDescent="0.35">
      <c r="D934" t="s">
        <v>275</v>
      </c>
      <c r="E934" t="s">
        <v>251</v>
      </c>
      <c r="F934" t="str">
        <f>"30.5101"</f>
        <v>30.5101</v>
      </c>
      <c r="G934" s="8" t="s">
        <v>2023</v>
      </c>
    </row>
    <row r="935" spans="4:7" x14ac:dyDescent="0.35">
      <c r="D935" t="s">
        <v>275</v>
      </c>
      <c r="E935" t="s">
        <v>251</v>
      </c>
      <c r="F935" t="str">
        <f>"30.5201"</f>
        <v>30.5201</v>
      </c>
      <c r="G935" s="8" t="s">
        <v>2024</v>
      </c>
    </row>
    <row r="936" spans="4:7" x14ac:dyDescent="0.35">
      <c r="D936" t="s">
        <v>275</v>
      </c>
      <c r="E936" t="s">
        <v>251</v>
      </c>
      <c r="F936" t="str">
        <f>"30.5202"</f>
        <v>30.5202</v>
      </c>
      <c r="G936" s="8" t="s">
        <v>2025</v>
      </c>
    </row>
    <row r="937" spans="4:7" x14ac:dyDescent="0.35">
      <c r="D937" t="s">
        <v>275</v>
      </c>
      <c r="E937" t="s">
        <v>251</v>
      </c>
      <c r="F937" t="str">
        <f>"30.5203"</f>
        <v>30.5203</v>
      </c>
      <c r="G937" s="8" t="s">
        <v>2026</v>
      </c>
    </row>
    <row r="938" spans="4:7" x14ac:dyDescent="0.35">
      <c r="D938" t="s">
        <v>275</v>
      </c>
      <c r="E938" t="s">
        <v>251</v>
      </c>
      <c r="F938" t="str">
        <f>"30.5299"</f>
        <v>30.5299</v>
      </c>
      <c r="G938" s="8" t="s">
        <v>2027</v>
      </c>
    </row>
    <row r="939" spans="4:7" x14ac:dyDescent="0.35">
      <c r="D939" t="s">
        <v>275</v>
      </c>
      <c r="E939" t="s">
        <v>251</v>
      </c>
      <c r="F939" t="str">
        <f>"30.5301"</f>
        <v>30.5301</v>
      </c>
      <c r="G939" s="8" t="s">
        <v>2028</v>
      </c>
    </row>
    <row r="940" spans="4:7" x14ac:dyDescent="0.35">
      <c r="D940" t="s">
        <v>275</v>
      </c>
      <c r="E940" t="s">
        <v>251</v>
      </c>
      <c r="F940" t="str">
        <f>"30.7001"</f>
        <v>30.7001</v>
      </c>
      <c r="G940" s="8" t="s">
        <v>2029</v>
      </c>
    </row>
    <row r="941" spans="4:7" x14ac:dyDescent="0.35">
      <c r="D941" t="s">
        <v>275</v>
      </c>
      <c r="E941" t="s">
        <v>251</v>
      </c>
      <c r="F941" t="str">
        <f>"30.7099"</f>
        <v>30.7099</v>
      </c>
      <c r="G941" s="8" t="s">
        <v>2030</v>
      </c>
    </row>
    <row r="942" spans="4:7" x14ac:dyDescent="0.35">
      <c r="D942" t="s">
        <v>275</v>
      </c>
      <c r="E942" t="s">
        <v>251</v>
      </c>
      <c r="F942" t="str">
        <f>"30.7101"</f>
        <v>30.7101</v>
      </c>
      <c r="G942" s="8" t="s">
        <v>2031</v>
      </c>
    </row>
    <row r="943" spans="4:7" x14ac:dyDescent="0.35">
      <c r="D943" t="s">
        <v>275</v>
      </c>
      <c r="E943" t="s">
        <v>251</v>
      </c>
      <c r="F943" t="str">
        <f>"30.7102"</f>
        <v>30.7102</v>
      </c>
      <c r="G943" s="8" t="s">
        <v>2032</v>
      </c>
    </row>
    <row r="944" spans="4:7" x14ac:dyDescent="0.35">
      <c r="D944" t="s">
        <v>275</v>
      </c>
      <c r="E944" t="s">
        <v>251</v>
      </c>
      <c r="F944" t="str">
        <f>"30.7103"</f>
        <v>30.7103</v>
      </c>
      <c r="G944" s="8" t="s">
        <v>2033</v>
      </c>
    </row>
    <row r="945" spans="1:7" x14ac:dyDescent="0.35">
      <c r="D945" t="s">
        <v>275</v>
      </c>
      <c r="E945" t="s">
        <v>251</v>
      </c>
      <c r="F945" t="str">
        <f>"30.7104"</f>
        <v>30.7104</v>
      </c>
      <c r="G945" s="8" t="s">
        <v>2034</v>
      </c>
    </row>
    <row r="946" spans="1:7" x14ac:dyDescent="0.35">
      <c r="D946" t="s">
        <v>275</v>
      </c>
      <c r="E946" t="s">
        <v>251</v>
      </c>
      <c r="F946" t="str">
        <f>"30.7199"</f>
        <v>30.7199</v>
      </c>
      <c r="G946" s="8" t="s">
        <v>2035</v>
      </c>
    </row>
    <row r="947" spans="1:7" x14ac:dyDescent="0.35">
      <c r="A947" t="str">
        <f>"30.9999"</f>
        <v>30.9999</v>
      </c>
      <c r="B947" t="s">
        <v>2036</v>
      </c>
      <c r="C947" s="8" t="s">
        <v>2037</v>
      </c>
      <c r="D947" t="s">
        <v>250</v>
      </c>
      <c r="E947" t="s">
        <v>251</v>
      </c>
      <c r="F947" t="str">
        <f>"30.9999"</f>
        <v>30.9999</v>
      </c>
      <c r="G947" s="8" t="s">
        <v>2037</v>
      </c>
    </row>
    <row r="948" spans="1:7" x14ac:dyDescent="0.35">
      <c r="A948" t="str">
        <f>"31.0101"</f>
        <v>31.0101</v>
      </c>
      <c r="B948" t="s">
        <v>2038</v>
      </c>
      <c r="C948" s="8" t="s">
        <v>2039</v>
      </c>
      <c r="D948" t="s">
        <v>250</v>
      </c>
      <c r="E948" t="s">
        <v>251</v>
      </c>
      <c r="F948" t="str">
        <f>"31.0101"</f>
        <v>31.0101</v>
      </c>
      <c r="G948" s="8" t="s">
        <v>2040</v>
      </c>
    </row>
    <row r="949" spans="1:7" ht="29" x14ac:dyDescent="0.35">
      <c r="A949" t="str">
        <f>"31.0301"</f>
        <v>31.0301</v>
      </c>
      <c r="B949" t="s">
        <v>2041</v>
      </c>
      <c r="C949" s="8" t="s">
        <v>2042</v>
      </c>
      <c r="D949" t="s">
        <v>250</v>
      </c>
      <c r="E949" t="s">
        <v>251</v>
      </c>
      <c r="F949" t="str">
        <f>"31.0301"</f>
        <v>31.0301</v>
      </c>
      <c r="G949" s="8" t="s">
        <v>2043</v>
      </c>
    </row>
    <row r="950" spans="1:7" ht="29" x14ac:dyDescent="0.35">
      <c r="A950" t="str">
        <f>"31.0302"</f>
        <v>31.0302</v>
      </c>
      <c r="B950" t="s">
        <v>2044</v>
      </c>
      <c r="C950" s="8" t="s">
        <v>2045</v>
      </c>
      <c r="D950" t="s">
        <v>250</v>
      </c>
      <c r="E950" t="s">
        <v>251</v>
      </c>
      <c r="F950" t="str">
        <f>"31.0302"</f>
        <v>31.0302</v>
      </c>
      <c r="G950" s="8" t="s">
        <v>2045</v>
      </c>
    </row>
    <row r="951" spans="1:7" ht="29" x14ac:dyDescent="0.35">
      <c r="A951" t="str">
        <f>"31.0399"</f>
        <v>31.0399</v>
      </c>
      <c r="B951" t="s">
        <v>2046</v>
      </c>
      <c r="C951" s="8" t="s">
        <v>2047</v>
      </c>
      <c r="D951" t="s">
        <v>250</v>
      </c>
      <c r="E951" t="s">
        <v>251</v>
      </c>
      <c r="F951" t="str">
        <f>"31.0399"</f>
        <v>31.0399</v>
      </c>
      <c r="G951" s="8" t="s">
        <v>2048</v>
      </c>
    </row>
    <row r="952" spans="1:7" ht="29" x14ac:dyDescent="0.35">
      <c r="A952" t="str">
        <f>"31.0501"</f>
        <v>31.0501</v>
      </c>
      <c r="B952" t="s">
        <v>2049</v>
      </c>
      <c r="C952" s="8" t="s">
        <v>2050</v>
      </c>
      <c r="D952" t="s">
        <v>250</v>
      </c>
      <c r="E952" t="s">
        <v>264</v>
      </c>
      <c r="F952" t="str">
        <f>"31.0501"</f>
        <v>31.0501</v>
      </c>
      <c r="G952" s="8" t="s">
        <v>2051</v>
      </c>
    </row>
    <row r="953" spans="1:7" ht="29" x14ac:dyDescent="0.35">
      <c r="A953" t="str">
        <f>"31.0504"</f>
        <v>31.0504</v>
      </c>
      <c r="B953" t="s">
        <v>2052</v>
      </c>
      <c r="C953" s="8" t="s">
        <v>2053</v>
      </c>
      <c r="D953" t="s">
        <v>250</v>
      </c>
      <c r="E953" t="s">
        <v>251</v>
      </c>
      <c r="F953" t="str">
        <f>"31.0504"</f>
        <v>31.0504</v>
      </c>
      <c r="G953" s="8" t="s">
        <v>2053</v>
      </c>
    </row>
    <row r="954" spans="1:7" x14ac:dyDescent="0.35">
      <c r="A954" t="str">
        <f>"31.0505"</f>
        <v>31.0505</v>
      </c>
      <c r="B954" t="s">
        <v>2054</v>
      </c>
      <c r="C954" s="8" t="s">
        <v>2055</v>
      </c>
      <c r="D954" t="s">
        <v>250</v>
      </c>
      <c r="E954" t="s">
        <v>264</v>
      </c>
      <c r="F954" t="str">
        <f>"31.0505"</f>
        <v>31.0505</v>
      </c>
      <c r="G954" s="8" t="s">
        <v>2056</v>
      </c>
    </row>
    <row r="955" spans="1:7" x14ac:dyDescent="0.35">
      <c r="A955" t="str">
        <f>"31.0507"</f>
        <v>31.0507</v>
      </c>
      <c r="B955" t="s">
        <v>2057</v>
      </c>
      <c r="C955" s="8" t="s">
        <v>2058</v>
      </c>
      <c r="D955" t="s">
        <v>250</v>
      </c>
      <c r="E955" t="s">
        <v>251</v>
      </c>
      <c r="F955" t="str">
        <f>"31.0507"</f>
        <v>31.0507</v>
      </c>
      <c r="G955" s="8" t="s">
        <v>2058</v>
      </c>
    </row>
    <row r="956" spans="1:7" x14ac:dyDescent="0.35">
      <c r="A956" t="str">
        <f>"31.0508"</f>
        <v>31.0508</v>
      </c>
      <c r="B956" t="s">
        <v>2059</v>
      </c>
      <c r="C956" s="8" t="s">
        <v>2060</v>
      </c>
      <c r="D956" t="s">
        <v>250</v>
      </c>
      <c r="E956" t="s">
        <v>251</v>
      </c>
      <c r="F956" t="str">
        <f>"31.0508"</f>
        <v>31.0508</v>
      </c>
      <c r="G956" s="8" t="s">
        <v>2060</v>
      </c>
    </row>
    <row r="957" spans="1:7" ht="29" x14ac:dyDescent="0.35">
      <c r="A957" t="str">
        <f>"31.0599"</f>
        <v>31.0599</v>
      </c>
      <c r="B957" t="s">
        <v>2061</v>
      </c>
      <c r="C957" s="8" t="s">
        <v>2062</v>
      </c>
      <c r="D957" t="s">
        <v>250</v>
      </c>
      <c r="E957" t="s">
        <v>264</v>
      </c>
      <c r="F957" t="str">
        <f>"31.0599"</f>
        <v>31.0599</v>
      </c>
      <c r="G957" s="8" t="s">
        <v>2063</v>
      </c>
    </row>
    <row r="958" spans="1:7" x14ac:dyDescent="0.35">
      <c r="A958" t="str">
        <f>"31.0601"</f>
        <v>31.0601</v>
      </c>
      <c r="B958" t="s">
        <v>2064</v>
      </c>
      <c r="C958" s="8" t="s">
        <v>2065</v>
      </c>
      <c r="D958" t="s">
        <v>250</v>
      </c>
      <c r="E958" t="s">
        <v>251</v>
      </c>
      <c r="F958" t="str">
        <f>"31.0601"</f>
        <v>31.0601</v>
      </c>
      <c r="G958" s="8" t="s">
        <v>2065</v>
      </c>
    </row>
    <row r="959" spans="1:7" ht="29" x14ac:dyDescent="0.35">
      <c r="A959" t="str">
        <f>"31.9999"</f>
        <v>31.9999</v>
      </c>
      <c r="B959" t="s">
        <v>2066</v>
      </c>
      <c r="C959" s="8" t="s">
        <v>2067</v>
      </c>
      <c r="D959" t="s">
        <v>250</v>
      </c>
      <c r="E959" t="s">
        <v>264</v>
      </c>
      <c r="F959" t="str">
        <f>"31.9999"</f>
        <v>31.9999</v>
      </c>
      <c r="G959" s="8" t="s">
        <v>2068</v>
      </c>
    </row>
    <row r="960" spans="1:7" ht="29" x14ac:dyDescent="0.35">
      <c r="A960" t="str">
        <f>"32.0101"</f>
        <v>32.0101</v>
      </c>
      <c r="B960" t="s">
        <v>2069</v>
      </c>
      <c r="C960" s="8" t="s">
        <v>2070</v>
      </c>
      <c r="D960" t="s">
        <v>250</v>
      </c>
      <c r="E960" t="s">
        <v>251</v>
      </c>
      <c r="F960" t="str">
        <f>"32.0101"</f>
        <v>32.0101</v>
      </c>
      <c r="G960" s="8" t="s">
        <v>2070</v>
      </c>
    </row>
    <row r="961" spans="1:7" x14ac:dyDescent="0.35">
      <c r="A961" t="str">
        <f>"32.0104"</f>
        <v>32.0104</v>
      </c>
      <c r="B961" t="s">
        <v>2071</v>
      </c>
      <c r="C961" s="8" t="s">
        <v>2072</v>
      </c>
      <c r="D961" t="s">
        <v>250</v>
      </c>
      <c r="E961" t="s">
        <v>251</v>
      </c>
      <c r="F961" t="str">
        <f>"32.0104"</f>
        <v>32.0104</v>
      </c>
      <c r="G961" s="8" t="s">
        <v>2072</v>
      </c>
    </row>
    <row r="962" spans="1:7" x14ac:dyDescent="0.35">
      <c r="A962" t="str">
        <f>"32.0105"</f>
        <v>32.0105</v>
      </c>
      <c r="B962" t="s">
        <v>2073</v>
      </c>
      <c r="C962" s="8" t="s">
        <v>2074</v>
      </c>
      <c r="D962" t="s">
        <v>250</v>
      </c>
      <c r="E962" t="s">
        <v>251</v>
      </c>
      <c r="F962" t="str">
        <f>"32.0105"</f>
        <v>32.0105</v>
      </c>
      <c r="G962" s="8" t="s">
        <v>2074</v>
      </c>
    </row>
    <row r="963" spans="1:7" x14ac:dyDescent="0.35">
      <c r="A963" t="str">
        <f>"32.0107"</f>
        <v>32.0107</v>
      </c>
      <c r="B963" t="s">
        <v>2075</v>
      </c>
      <c r="C963" s="8" t="s">
        <v>2076</v>
      </c>
      <c r="D963" t="s">
        <v>250</v>
      </c>
      <c r="E963" t="s">
        <v>251</v>
      </c>
      <c r="F963" t="str">
        <f>"32.0107"</f>
        <v>32.0107</v>
      </c>
      <c r="G963" s="8" t="s">
        <v>2076</v>
      </c>
    </row>
    <row r="964" spans="1:7" x14ac:dyDescent="0.35">
      <c r="A964" t="str">
        <f>"32.0108"</f>
        <v>32.0108</v>
      </c>
      <c r="B964" t="s">
        <v>2077</v>
      </c>
      <c r="C964" s="8" t="s">
        <v>2078</v>
      </c>
      <c r="D964" t="s">
        <v>250</v>
      </c>
      <c r="E964" t="s">
        <v>251</v>
      </c>
      <c r="F964" t="str">
        <f>"32.0108"</f>
        <v>32.0108</v>
      </c>
      <c r="G964" s="8" t="s">
        <v>2078</v>
      </c>
    </row>
    <row r="965" spans="1:7" x14ac:dyDescent="0.35">
      <c r="A965" t="str">
        <f>"32.0109"</f>
        <v>32.0109</v>
      </c>
      <c r="B965" t="s">
        <v>2079</v>
      </c>
      <c r="C965" s="8" t="s">
        <v>2080</v>
      </c>
      <c r="D965" t="s">
        <v>250</v>
      </c>
      <c r="E965" t="s">
        <v>251</v>
      </c>
      <c r="F965" t="str">
        <f>"32.0109"</f>
        <v>32.0109</v>
      </c>
      <c r="G965" s="8" t="s">
        <v>2080</v>
      </c>
    </row>
    <row r="966" spans="1:7" x14ac:dyDescent="0.35">
      <c r="A966" t="str">
        <f>"32.0110"</f>
        <v>32.0110</v>
      </c>
      <c r="B966" t="s">
        <v>2081</v>
      </c>
      <c r="C966" s="8" t="s">
        <v>2082</v>
      </c>
      <c r="D966" t="s">
        <v>250</v>
      </c>
      <c r="E966" t="s">
        <v>251</v>
      </c>
      <c r="F966" t="str">
        <f>"32.0110"</f>
        <v>32.0110</v>
      </c>
      <c r="G966" s="8" t="s">
        <v>2082</v>
      </c>
    </row>
    <row r="967" spans="1:7" x14ac:dyDescent="0.35">
      <c r="A967" t="str">
        <f>"32.0111"</f>
        <v>32.0111</v>
      </c>
      <c r="B967" t="s">
        <v>2083</v>
      </c>
      <c r="C967" s="8" t="s">
        <v>2084</v>
      </c>
      <c r="D967" t="s">
        <v>250</v>
      </c>
      <c r="E967" t="s">
        <v>251</v>
      </c>
      <c r="F967" t="str">
        <f>"32.0111"</f>
        <v>32.0111</v>
      </c>
      <c r="G967" s="8" t="s">
        <v>2084</v>
      </c>
    </row>
    <row r="968" spans="1:7" x14ac:dyDescent="0.35">
      <c r="D968" t="s">
        <v>275</v>
      </c>
      <c r="E968" t="s">
        <v>251</v>
      </c>
      <c r="F968" t="str">
        <f>"32.0112"</f>
        <v>32.0112</v>
      </c>
      <c r="G968" s="8" t="s">
        <v>2085</v>
      </c>
    </row>
    <row r="969" spans="1:7" ht="29" x14ac:dyDescent="0.35">
      <c r="A969" t="str">
        <f>"32.0199"</f>
        <v>32.0199</v>
      </c>
      <c r="B969" t="s">
        <v>2086</v>
      </c>
      <c r="C969" s="8" t="s">
        <v>2087</v>
      </c>
      <c r="D969" t="s">
        <v>250</v>
      </c>
      <c r="E969" t="s">
        <v>251</v>
      </c>
      <c r="F969" t="str">
        <f>"32.0199"</f>
        <v>32.0199</v>
      </c>
      <c r="G969" s="8" t="s">
        <v>2087</v>
      </c>
    </row>
    <row r="970" spans="1:7" x14ac:dyDescent="0.35">
      <c r="D970" t="s">
        <v>275</v>
      </c>
      <c r="E970" t="s">
        <v>251</v>
      </c>
      <c r="F970" t="str">
        <f>"32.0201"</f>
        <v>32.0201</v>
      </c>
      <c r="G970" s="8" t="s">
        <v>2088</v>
      </c>
    </row>
    <row r="971" spans="1:7" x14ac:dyDescent="0.35">
      <c r="D971" t="s">
        <v>275</v>
      </c>
      <c r="E971" t="s">
        <v>251</v>
      </c>
      <c r="F971" t="str">
        <f>"32.0202"</f>
        <v>32.0202</v>
      </c>
      <c r="G971" s="8" t="s">
        <v>2089</v>
      </c>
    </row>
    <row r="972" spans="1:7" ht="29" x14ac:dyDescent="0.35">
      <c r="D972" t="s">
        <v>275</v>
      </c>
      <c r="E972" t="s">
        <v>251</v>
      </c>
      <c r="F972" t="str">
        <f>"32.0203"</f>
        <v>32.0203</v>
      </c>
      <c r="G972" s="8" t="s">
        <v>2090</v>
      </c>
    </row>
    <row r="973" spans="1:7" ht="29" x14ac:dyDescent="0.35">
      <c r="D973" t="s">
        <v>275</v>
      </c>
      <c r="E973" t="s">
        <v>251</v>
      </c>
      <c r="F973" t="str">
        <f>"32.0204"</f>
        <v>32.0204</v>
      </c>
      <c r="G973" s="8" t="s">
        <v>2091</v>
      </c>
    </row>
    <row r="974" spans="1:7" ht="29" x14ac:dyDescent="0.35">
      <c r="D974" t="s">
        <v>275</v>
      </c>
      <c r="E974" t="s">
        <v>251</v>
      </c>
      <c r="F974" t="str">
        <f>"32.0205"</f>
        <v>32.0205</v>
      </c>
      <c r="G974" s="8" t="s">
        <v>2092</v>
      </c>
    </row>
    <row r="975" spans="1:7" ht="29" x14ac:dyDescent="0.35">
      <c r="D975" t="s">
        <v>275</v>
      </c>
      <c r="E975" t="s">
        <v>251</v>
      </c>
      <c r="F975" t="str">
        <f>"32.0299"</f>
        <v>32.0299</v>
      </c>
      <c r="G975" s="8" t="s">
        <v>2093</v>
      </c>
    </row>
    <row r="976" spans="1:7" x14ac:dyDescent="0.35">
      <c r="A976" t="str">
        <f>"33.0101"</f>
        <v>33.0101</v>
      </c>
      <c r="B976" t="s">
        <v>2094</v>
      </c>
      <c r="C976" s="8" t="s">
        <v>2095</v>
      </c>
      <c r="D976" t="s">
        <v>250</v>
      </c>
      <c r="E976" t="s">
        <v>251</v>
      </c>
      <c r="F976" t="str">
        <f>"33.0101"</f>
        <v>33.0101</v>
      </c>
      <c r="G976" s="8" t="s">
        <v>2095</v>
      </c>
    </row>
    <row r="977" spans="1:7" x14ac:dyDescent="0.35">
      <c r="A977" t="str">
        <f>"33.0102"</f>
        <v>33.0102</v>
      </c>
      <c r="B977" t="s">
        <v>2096</v>
      </c>
      <c r="C977" s="8" t="s">
        <v>2097</v>
      </c>
      <c r="D977" t="s">
        <v>250</v>
      </c>
      <c r="E977" t="s">
        <v>251</v>
      </c>
      <c r="F977" t="str">
        <f>"33.0102"</f>
        <v>33.0102</v>
      </c>
      <c r="G977" s="8" t="s">
        <v>2097</v>
      </c>
    </row>
    <row r="978" spans="1:7" x14ac:dyDescent="0.35">
      <c r="A978" t="str">
        <f>"33.0103"</f>
        <v>33.0103</v>
      </c>
      <c r="B978" t="s">
        <v>2098</v>
      </c>
      <c r="C978" s="8" t="s">
        <v>2099</v>
      </c>
      <c r="D978" t="s">
        <v>250</v>
      </c>
      <c r="E978" t="s">
        <v>251</v>
      </c>
      <c r="F978" t="str">
        <f>"33.0103"</f>
        <v>33.0103</v>
      </c>
      <c r="G978" s="8" t="s">
        <v>2099</v>
      </c>
    </row>
    <row r="979" spans="1:7" x14ac:dyDescent="0.35">
      <c r="A979" t="str">
        <f>"33.0104"</f>
        <v>33.0104</v>
      </c>
      <c r="B979" t="s">
        <v>2100</v>
      </c>
      <c r="C979" s="8" t="s">
        <v>2101</v>
      </c>
      <c r="D979" t="s">
        <v>250</v>
      </c>
      <c r="E979" t="s">
        <v>251</v>
      </c>
      <c r="F979" t="str">
        <f>"33.0104"</f>
        <v>33.0104</v>
      </c>
      <c r="G979" s="8" t="s">
        <v>2101</v>
      </c>
    </row>
    <row r="980" spans="1:7" x14ac:dyDescent="0.35">
      <c r="A980" t="str">
        <f>"33.0105"</f>
        <v>33.0105</v>
      </c>
      <c r="B980" t="s">
        <v>2102</v>
      </c>
      <c r="C980" s="8" t="s">
        <v>2103</v>
      </c>
      <c r="D980" t="s">
        <v>250</v>
      </c>
      <c r="E980" t="s">
        <v>251</v>
      </c>
      <c r="F980" t="str">
        <f>"33.0105"</f>
        <v>33.0105</v>
      </c>
      <c r="G980" s="8" t="s">
        <v>2103</v>
      </c>
    </row>
    <row r="981" spans="1:7" x14ac:dyDescent="0.35">
      <c r="D981" t="s">
        <v>275</v>
      </c>
      <c r="E981" t="s">
        <v>251</v>
      </c>
      <c r="F981" t="str">
        <f>"33.0106"</f>
        <v>33.0106</v>
      </c>
      <c r="G981" s="8" t="s">
        <v>2104</v>
      </c>
    </row>
    <row r="982" spans="1:7" x14ac:dyDescent="0.35">
      <c r="A982" t="str">
        <f>"33.0199"</f>
        <v>33.0199</v>
      </c>
      <c r="B982" t="s">
        <v>2105</v>
      </c>
      <c r="C982" s="8" t="s">
        <v>2106</v>
      </c>
      <c r="D982" t="s">
        <v>250</v>
      </c>
      <c r="E982" t="s">
        <v>251</v>
      </c>
      <c r="F982" t="str">
        <f>"33.0199"</f>
        <v>33.0199</v>
      </c>
      <c r="G982" s="8" t="s">
        <v>2106</v>
      </c>
    </row>
    <row r="983" spans="1:7" ht="29" x14ac:dyDescent="0.35">
      <c r="A983" t="str">
        <f>"34.0102"</f>
        <v>34.0102</v>
      </c>
      <c r="B983" t="s">
        <v>2107</v>
      </c>
      <c r="C983" s="8" t="s">
        <v>2108</v>
      </c>
      <c r="D983" t="s">
        <v>250</v>
      </c>
      <c r="E983" t="s">
        <v>251</v>
      </c>
      <c r="F983" t="str">
        <f>"34.0102"</f>
        <v>34.0102</v>
      </c>
      <c r="G983" s="8" t="s">
        <v>2108</v>
      </c>
    </row>
    <row r="984" spans="1:7" ht="29" x14ac:dyDescent="0.35">
      <c r="A984" t="str">
        <f>"34.0103"</f>
        <v>34.0103</v>
      </c>
      <c r="B984" t="s">
        <v>2109</v>
      </c>
      <c r="C984" s="8" t="s">
        <v>2110</v>
      </c>
      <c r="D984" t="s">
        <v>250</v>
      </c>
      <c r="E984" t="s">
        <v>251</v>
      </c>
      <c r="F984" t="str">
        <f>"34.0103"</f>
        <v>34.0103</v>
      </c>
      <c r="G984" s="8" t="s">
        <v>2110</v>
      </c>
    </row>
    <row r="985" spans="1:7" x14ac:dyDescent="0.35">
      <c r="A985" t="str">
        <f>"34.0104"</f>
        <v>34.0104</v>
      </c>
      <c r="B985" t="s">
        <v>2111</v>
      </c>
      <c r="C985" s="8" t="s">
        <v>2112</v>
      </c>
      <c r="D985" t="s">
        <v>250</v>
      </c>
      <c r="E985" t="s">
        <v>251</v>
      </c>
      <c r="F985" t="str">
        <f>"34.0104"</f>
        <v>34.0104</v>
      </c>
      <c r="G985" s="8" t="s">
        <v>2112</v>
      </c>
    </row>
    <row r="986" spans="1:7" x14ac:dyDescent="0.35">
      <c r="D986" t="s">
        <v>275</v>
      </c>
      <c r="E986" t="s">
        <v>251</v>
      </c>
      <c r="F986" t="str">
        <f>"34.0105"</f>
        <v>34.0105</v>
      </c>
      <c r="G986" s="8" t="s">
        <v>2113</v>
      </c>
    </row>
    <row r="987" spans="1:7" ht="29" x14ac:dyDescent="0.35">
      <c r="A987" t="str">
        <f>"34.0199"</f>
        <v>34.0199</v>
      </c>
      <c r="B987" t="s">
        <v>2114</v>
      </c>
      <c r="C987" s="8" t="s">
        <v>2115</v>
      </c>
      <c r="D987" t="s">
        <v>250</v>
      </c>
      <c r="E987" t="s">
        <v>251</v>
      </c>
      <c r="F987" t="str">
        <f>"34.0199"</f>
        <v>34.0199</v>
      </c>
      <c r="G987" s="8" t="s">
        <v>2115</v>
      </c>
    </row>
    <row r="988" spans="1:7" x14ac:dyDescent="0.35">
      <c r="A988" t="str">
        <f>"35.0101"</f>
        <v>35.0101</v>
      </c>
      <c r="B988" t="s">
        <v>2116</v>
      </c>
      <c r="C988" s="8" t="s">
        <v>2117</v>
      </c>
      <c r="D988" t="s">
        <v>250</v>
      </c>
      <c r="E988" t="s">
        <v>251</v>
      </c>
      <c r="F988" t="str">
        <f>"35.0101"</f>
        <v>35.0101</v>
      </c>
      <c r="G988" s="8" t="s">
        <v>2117</v>
      </c>
    </row>
    <row r="989" spans="1:7" x14ac:dyDescent="0.35">
      <c r="A989" t="str">
        <f>"35.0102"</f>
        <v>35.0102</v>
      </c>
      <c r="B989" t="s">
        <v>2118</v>
      </c>
      <c r="C989" s="8" t="s">
        <v>2119</v>
      </c>
      <c r="D989" t="s">
        <v>250</v>
      </c>
      <c r="E989" t="s">
        <v>251</v>
      </c>
      <c r="F989" t="str">
        <f>"35.0102"</f>
        <v>35.0102</v>
      </c>
      <c r="G989" s="8" t="s">
        <v>2119</v>
      </c>
    </row>
    <row r="990" spans="1:7" x14ac:dyDescent="0.35">
      <c r="A990" t="str">
        <f>"35.0103"</f>
        <v>35.0103</v>
      </c>
      <c r="B990" t="s">
        <v>2120</v>
      </c>
      <c r="C990" s="8" t="s">
        <v>2121</v>
      </c>
      <c r="D990" t="s">
        <v>250</v>
      </c>
      <c r="E990" t="s">
        <v>251</v>
      </c>
      <c r="F990" t="str">
        <f>"35.0103"</f>
        <v>35.0103</v>
      </c>
      <c r="G990" s="8" t="s">
        <v>2121</v>
      </c>
    </row>
    <row r="991" spans="1:7" x14ac:dyDescent="0.35">
      <c r="D991" t="s">
        <v>275</v>
      </c>
      <c r="E991" t="s">
        <v>251</v>
      </c>
      <c r="F991" t="str">
        <f>"35.0105"</f>
        <v>35.0105</v>
      </c>
      <c r="G991" s="8" t="s">
        <v>2122</v>
      </c>
    </row>
    <row r="992" spans="1:7" x14ac:dyDescent="0.35">
      <c r="A992" t="str">
        <f>"35.0199"</f>
        <v>35.0199</v>
      </c>
      <c r="B992" t="s">
        <v>2123</v>
      </c>
      <c r="C992" s="8" t="s">
        <v>2124</v>
      </c>
      <c r="D992" t="s">
        <v>250</v>
      </c>
      <c r="E992" t="s">
        <v>251</v>
      </c>
      <c r="F992" t="str">
        <f>"35.0199"</f>
        <v>35.0199</v>
      </c>
      <c r="G992" s="8" t="s">
        <v>2124</v>
      </c>
    </row>
    <row r="993" spans="1:7" ht="29" x14ac:dyDescent="0.35">
      <c r="A993" t="str">
        <f>"36.0101"</f>
        <v>36.0101</v>
      </c>
      <c r="B993" t="s">
        <v>2125</v>
      </c>
      <c r="C993" s="8" t="s">
        <v>2126</v>
      </c>
      <c r="D993" t="s">
        <v>250</v>
      </c>
      <c r="E993" t="s">
        <v>251</v>
      </c>
      <c r="F993" t="str">
        <f>"36.0101"</f>
        <v>36.0101</v>
      </c>
      <c r="G993" s="8" t="s">
        <v>2126</v>
      </c>
    </row>
    <row r="994" spans="1:7" x14ac:dyDescent="0.35">
      <c r="A994" t="str">
        <f>"36.0102"</f>
        <v>36.0102</v>
      </c>
      <c r="B994" t="s">
        <v>2127</v>
      </c>
      <c r="C994" s="8" t="s">
        <v>2128</v>
      </c>
      <c r="D994" t="s">
        <v>250</v>
      </c>
      <c r="E994" t="s">
        <v>251</v>
      </c>
      <c r="F994" t="str">
        <f>"36.0102"</f>
        <v>36.0102</v>
      </c>
      <c r="G994" s="8" t="s">
        <v>2128</v>
      </c>
    </row>
    <row r="995" spans="1:7" x14ac:dyDescent="0.35">
      <c r="A995" t="str">
        <f>"36.0103"</f>
        <v>36.0103</v>
      </c>
      <c r="B995" t="s">
        <v>2129</v>
      </c>
      <c r="C995" s="8" t="s">
        <v>2130</v>
      </c>
      <c r="D995" t="s">
        <v>250</v>
      </c>
      <c r="E995" t="s">
        <v>251</v>
      </c>
      <c r="F995" t="str">
        <f>"36.0103"</f>
        <v>36.0103</v>
      </c>
      <c r="G995" s="8" t="s">
        <v>2130</v>
      </c>
    </row>
    <row r="996" spans="1:7" x14ac:dyDescent="0.35">
      <c r="A996" t="str">
        <f>"36.0105"</f>
        <v>36.0105</v>
      </c>
      <c r="B996" t="s">
        <v>2131</v>
      </c>
      <c r="C996" s="8" t="s">
        <v>2132</v>
      </c>
      <c r="D996" t="s">
        <v>250</v>
      </c>
      <c r="E996" t="s">
        <v>251</v>
      </c>
      <c r="F996" t="str">
        <f>"36.0105"</f>
        <v>36.0105</v>
      </c>
      <c r="G996" s="8" t="s">
        <v>2132</v>
      </c>
    </row>
    <row r="997" spans="1:7" x14ac:dyDescent="0.35">
      <c r="A997" t="str">
        <f>"36.0106"</f>
        <v>36.0106</v>
      </c>
      <c r="B997" t="s">
        <v>2133</v>
      </c>
      <c r="C997" s="8" t="s">
        <v>2134</v>
      </c>
      <c r="D997" t="s">
        <v>250</v>
      </c>
      <c r="E997" t="s">
        <v>251</v>
      </c>
      <c r="F997" t="str">
        <f>"36.0106"</f>
        <v>36.0106</v>
      </c>
      <c r="G997" s="8" t="s">
        <v>2134</v>
      </c>
    </row>
    <row r="998" spans="1:7" x14ac:dyDescent="0.35">
      <c r="A998" t="str">
        <f>"36.0107"</f>
        <v>36.0107</v>
      </c>
      <c r="B998" t="s">
        <v>2135</v>
      </c>
      <c r="C998" s="8" t="s">
        <v>2136</v>
      </c>
      <c r="D998" t="s">
        <v>250</v>
      </c>
      <c r="E998" t="s">
        <v>251</v>
      </c>
      <c r="F998" t="str">
        <f>"36.0107"</f>
        <v>36.0107</v>
      </c>
      <c r="G998" s="8" t="s">
        <v>2136</v>
      </c>
    </row>
    <row r="999" spans="1:7" x14ac:dyDescent="0.35">
      <c r="A999" t="str">
        <f>"36.0108"</f>
        <v>36.0108</v>
      </c>
      <c r="B999" t="s">
        <v>2137</v>
      </c>
      <c r="C999" s="8" t="s">
        <v>2138</v>
      </c>
      <c r="D999" t="s">
        <v>250</v>
      </c>
      <c r="E999" t="s">
        <v>251</v>
      </c>
      <c r="F999" t="str">
        <f>"36.0108"</f>
        <v>36.0108</v>
      </c>
      <c r="G999" s="8" t="s">
        <v>2138</v>
      </c>
    </row>
    <row r="1000" spans="1:7" x14ac:dyDescent="0.35">
      <c r="A1000" t="str">
        <f>"36.0109"</f>
        <v>36.0109</v>
      </c>
      <c r="B1000" t="s">
        <v>2139</v>
      </c>
      <c r="C1000" s="8" t="s">
        <v>2140</v>
      </c>
      <c r="D1000" t="s">
        <v>250</v>
      </c>
      <c r="E1000" t="s">
        <v>251</v>
      </c>
      <c r="F1000" t="str">
        <f>"36.0109"</f>
        <v>36.0109</v>
      </c>
      <c r="G1000" s="8" t="s">
        <v>2140</v>
      </c>
    </row>
    <row r="1001" spans="1:7" x14ac:dyDescent="0.35">
      <c r="A1001" t="str">
        <f>"36.0110"</f>
        <v>36.0110</v>
      </c>
      <c r="B1001" t="s">
        <v>2141</v>
      </c>
      <c r="C1001" s="8" t="s">
        <v>2142</v>
      </c>
      <c r="D1001" t="s">
        <v>250</v>
      </c>
      <c r="E1001" t="s">
        <v>251</v>
      </c>
      <c r="F1001" t="str">
        <f>"36.0110"</f>
        <v>36.0110</v>
      </c>
      <c r="G1001" s="8" t="s">
        <v>2142</v>
      </c>
    </row>
    <row r="1002" spans="1:7" x14ac:dyDescent="0.35">
      <c r="A1002" t="str">
        <f>"36.0111"</f>
        <v>36.0111</v>
      </c>
      <c r="B1002" t="s">
        <v>2143</v>
      </c>
      <c r="C1002" s="8" t="s">
        <v>2144</v>
      </c>
      <c r="D1002" t="s">
        <v>250</v>
      </c>
      <c r="E1002" t="s">
        <v>251</v>
      </c>
      <c r="F1002" t="str">
        <f>"36.0111"</f>
        <v>36.0111</v>
      </c>
      <c r="G1002" s="8" t="s">
        <v>2144</v>
      </c>
    </row>
    <row r="1003" spans="1:7" x14ac:dyDescent="0.35">
      <c r="A1003" t="str">
        <f>"36.0112"</f>
        <v>36.0112</v>
      </c>
      <c r="B1003" t="s">
        <v>2145</v>
      </c>
      <c r="C1003" s="8" t="s">
        <v>2146</v>
      </c>
      <c r="D1003" t="s">
        <v>250</v>
      </c>
      <c r="E1003" t="s">
        <v>251</v>
      </c>
      <c r="F1003" t="str">
        <f>"36.0112"</f>
        <v>36.0112</v>
      </c>
      <c r="G1003" s="8" t="s">
        <v>2146</v>
      </c>
    </row>
    <row r="1004" spans="1:7" x14ac:dyDescent="0.35">
      <c r="A1004" t="str">
        <f>"36.0113"</f>
        <v>36.0113</v>
      </c>
      <c r="B1004" t="s">
        <v>2147</v>
      </c>
      <c r="C1004" s="8" t="s">
        <v>2148</v>
      </c>
      <c r="D1004" t="s">
        <v>250</v>
      </c>
      <c r="E1004" t="s">
        <v>251</v>
      </c>
      <c r="F1004" t="str">
        <f>"36.0113"</f>
        <v>36.0113</v>
      </c>
      <c r="G1004" s="8" t="s">
        <v>2148</v>
      </c>
    </row>
    <row r="1005" spans="1:7" x14ac:dyDescent="0.35">
      <c r="A1005" t="str">
        <f>"36.0114"</f>
        <v>36.0114</v>
      </c>
      <c r="B1005" t="s">
        <v>2149</v>
      </c>
      <c r="C1005" s="8" t="s">
        <v>2150</v>
      </c>
      <c r="D1005" t="s">
        <v>250</v>
      </c>
      <c r="E1005" t="s">
        <v>251</v>
      </c>
      <c r="F1005" t="str">
        <f>"36.0114"</f>
        <v>36.0114</v>
      </c>
      <c r="G1005" s="8" t="s">
        <v>2150</v>
      </c>
    </row>
    <row r="1006" spans="1:7" x14ac:dyDescent="0.35">
      <c r="A1006" t="str">
        <f>"36.0115"</f>
        <v>36.0115</v>
      </c>
      <c r="B1006" t="s">
        <v>2151</v>
      </c>
      <c r="C1006" s="8" t="s">
        <v>2152</v>
      </c>
      <c r="D1006" t="s">
        <v>250</v>
      </c>
      <c r="E1006" t="s">
        <v>251</v>
      </c>
      <c r="F1006" t="str">
        <f>"36.0115"</f>
        <v>36.0115</v>
      </c>
      <c r="G1006" s="8" t="s">
        <v>2152</v>
      </c>
    </row>
    <row r="1007" spans="1:7" x14ac:dyDescent="0.35">
      <c r="A1007" t="str">
        <f>"36.0116"</f>
        <v>36.0116</v>
      </c>
      <c r="B1007" t="s">
        <v>2153</v>
      </c>
      <c r="C1007" s="8" t="s">
        <v>2154</v>
      </c>
      <c r="D1007" t="s">
        <v>250</v>
      </c>
      <c r="E1007" t="s">
        <v>251</v>
      </c>
      <c r="F1007" t="str">
        <f>"36.0116"</f>
        <v>36.0116</v>
      </c>
      <c r="G1007" s="8" t="s">
        <v>2154</v>
      </c>
    </row>
    <row r="1008" spans="1:7" x14ac:dyDescent="0.35">
      <c r="A1008" t="str">
        <f>"36.0117"</f>
        <v>36.0117</v>
      </c>
      <c r="B1008" t="s">
        <v>2155</v>
      </c>
      <c r="C1008" s="8" t="s">
        <v>2156</v>
      </c>
      <c r="D1008" t="s">
        <v>250</v>
      </c>
      <c r="E1008" t="s">
        <v>251</v>
      </c>
      <c r="F1008" t="str">
        <f>"36.0117"</f>
        <v>36.0117</v>
      </c>
      <c r="G1008" s="8" t="s">
        <v>2156</v>
      </c>
    </row>
    <row r="1009" spans="1:7" x14ac:dyDescent="0.35">
      <c r="A1009" t="str">
        <f>"36.0118"</f>
        <v>36.0118</v>
      </c>
      <c r="B1009" t="s">
        <v>2157</v>
      </c>
      <c r="C1009" s="8" t="s">
        <v>2158</v>
      </c>
      <c r="D1009" t="s">
        <v>250</v>
      </c>
      <c r="E1009" t="s">
        <v>251</v>
      </c>
      <c r="F1009" t="str">
        <f>"36.0118"</f>
        <v>36.0118</v>
      </c>
      <c r="G1009" s="8" t="s">
        <v>2158</v>
      </c>
    </row>
    <row r="1010" spans="1:7" x14ac:dyDescent="0.35">
      <c r="A1010" t="str">
        <f>"36.0119"</f>
        <v>36.0119</v>
      </c>
      <c r="B1010" t="s">
        <v>2159</v>
      </c>
      <c r="C1010" s="8" t="s">
        <v>2160</v>
      </c>
      <c r="D1010" t="s">
        <v>295</v>
      </c>
      <c r="E1010" t="s">
        <v>251</v>
      </c>
      <c r="F1010" t="str">
        <f>"36.0202"</f>
        <v>36.0202</v>
      </c>
      <c r="G1010" s="8" t="s">
        <v>2160</v>
      </c>
    </row>
    <row r="1011" spans="1:7" x14ac:dyDescent="0.35">
      <c r="D1011" t="s">
        <v>275</v>
      </c>
      <c r="E1011" t="s">
        <v>251</v>
      </c>
      <c r="F1011" t="str">
        <f>"36.0120"</f>
        <v>36.0120</v>
      </c>
      <c r="G1011" s="8" t="s">
        <v>2161</v>
      </c>
    </row>
    <row r="1012" spans="1:7" x14ac:dyDescent="0.35">
      <c r="D1012" t="s">
        <v>275</v>
      </c>
      <c r="E1012" t="s">
        <v>251</v>
      </c>
      <c r="F1012" t="str">
        <f>"36.0121"</f>
        <v>36.0121</v>
      </c>
      <c r="G1012" s="8" t="s">
        <v>2162</v>
      </c>
    </row>
    <row r="1013" spans="1:7" x14ac:dyDescent="0.35">
      <c r="D1013" t="s">
        <v>275</v>
      </c>
      <c r="E1013" t="s">
        <v>251</v>
      </c>
      <c r="F1013" t="str">
        <f>"36.0122"</f>
        <v>36.0122</v>
      </c>
      <c r="G1013" s="8" t="s">
        <v>2163</v>
      </c>
    </row>
    <row r="1014" spans="1:7" x14ac:dyDescent="0.35">
      <c r="D1014" t="s">
        <v>275</v>
      </c>
      <c r="E1014" t="s">
        <v>251</v>
      </c>
      <c r="F1014" t="str">
        <f>"36.0123"</f>
        <v>36.0123</v>
      </c>
      <c r="G1014" s="8" t="s">
        <v>2164</v>
      </c>
    </row>
    <row r="1015" spans="1:7" x14ac:dyDescent="0.35">
      <c r="A1015" t="str">
        <f>"36.0199"</f>
        <v>36.0199</v>
      </c>
      <c r="B1015" t="s">
        <v>2165</v>
      </c>
      <c r="C1015" s="8" t="s">
        <v>2166</v>
      </c>
      <c r="D1015" t="s">
        <v>250</v>
      </c>
      <c r="E1015" t="s">
        <v>251</v>
      </c>
      <c r="F1015" t="str">
        <f>"36.0199"</f>
        <v>36.0199</v>
      </c>
      <c r="G1015" s="8" t="s">
        <v>2166</v>
      </c>
    </row>
    <row r="1016" spans="1:7" x14ac:dyDescent="0.35">
      <c r="D1016" t="s">
        <v>275</v>
      </c>
      <c r="E1016" t="s">
        <v>251</v>
      </c>
      <c r="F1016" t="str">
        <f>"36.0203"</f>
        <v>36.0203</v>
      </c>
      <c r="G1016" s="8" t="s">
        <v>2167</v>
      </c>
    </row>
    <row r="1017" spans="1:7" x14ac:dyDescent="0.35">
      <c r="D1017" t="s">
        <v>275</v>
      </c>
      <c r="E1017" t="s">
        <v>251</v>
      </c>
      <c r="F1017" t="str">
        <f>"36.0204"</f>
        <v>36.0204</v>
      </c>
      <c r="G1017" s="8" t="s">
        <v>2168</v>
      </c>
    </row>
    <row r="1018" spans="1:7" x14ac:dyDescent="0.35">
      <c r="D1018" t="s">
        <v>275</v>
      </c>
      <c r="E1018" t="s">
        <v>251</v>
      </c>
      <c r="F1018" t="str">
        <f>"36.0205"</f>
        <v>36.0205</v>
      </c>
      <c r="G1018" s="8" t="s">
        <v>2169</v>
      </c>
    </row>
    <row r="1019" spans="1:7" x14ac:dyDescent="0.35">
      <c r="D1019" t="s">
        <v>275</v>
      </c>
      <c r="E1019" t="s">
        <v>251</v>
      </c>
      <c r="F1019" t="str">
        <f>"36.0206"</f>
        <v>36.0206</v>
      </c>
      <c r="G1019" s="8" t="s">
        <v>2170</v>
      </c>
    </row>
    <row r="1020" spans="1:7" x14ac:dyDescent="0.35">
      <c r="D1020" t="s">
        <v>275</v>
      </c>
      <c r="E1020" t="s">
        <v>251</v>
      </c>
      <c r="F1020" t="str">
        <f>"36.0207"</f>
        <v>36.0207</v>
      </c>
      <c r="G1020" s="8" t="s">
        <v>2171</v>
      </c>
    </row>
    <row r="1021" spans="1:7" x14ac:dyDescent="0.35">
      <c r="D1021" t="s">
        <v>275</v>
      </c>
      <c r="E1021" t="s">
        <v>251</v>
      </c>
      <c r="F1021" t="str">
        <f>"36.0299"</f>
        <v>36.0299</v>
      </c>
      <c r="G1021" s="8" t="s">
        <v>2172</v>
      </c>
    </row>
    <row r="1022" spans="1:7" x14ac:dyDescent="0.35">
      <c r="A1022" t="str">
        <f>"37.0101"</f>
        <v>37.0101</v>
      </c>
      <c r="B1022" t="s">
        <v>2173</v>
      </c>
      <c r="C1022" s="8" t="s">
        <v>2174</v>
      </c>
      <c r="D1022" t="s">
        <v>250</v>
      </c>
      <c r="E1022" t="s">
        <v>251</v>
      </c>
      <c r="F1022" t="str">
        <f>"37.0101"</f>
        <v>37.0101</v>
      </c>
      <c r="G1022" s="8" t="s">
        <v>2174</v>
      </c>
    </row>
    <row r="1023" spans="1:7" x14ac:dyDescent="0.35">
      <c r="A1023" t="str">
        <f>"37.0102"</f>
        <v>37.0102</v>
      </c>
      <c r="B1023" t="s">
        <v>2175</v>
      </c>
      <c r="C1023" s="8" t="s">
        <v>2176</v>
      </c>
      <c r="D1023" t="s">
        <v>250</v>
      </c>
      <c r="E1023" t="s">
        <v>251</v>
      </c>
      <c r="F1023" t="str">
        <f>"37.0102"</f>
        <v>37.0102</v>
      </c>
      <c r="G1023" s="8" t="s">
        <v>2176</v>
      </c>
    </row>
    <row r="1024" spans="1:7" x14ac:dyDescent="0.35">
      <c r="A1024" t="str">
        <f>"37.0103"</f>
        <v>37.0103</v>
      </c>
      <c r="B1024" t="s">
        <v>2177</v>
      </c>
      <c r="C1024" s="8" t="s">
        <v>2178</v>
      </c>
      <c r="D1024" t="s">
        <v>250</v>
      </c>
      <c r="E1024" t="s">
        <v>251</v>
      </c>
      <c r="F1024" t="str">
        <f>"37.0103"</f>
        <v>37.0103</v>
      </c>
      <c r="G1024" s="8" t="s">
        <v>2178</v>
      </c>
    </row>
    <row r="1025" spans="1:7" x14ac:dyDescent="0.35">
      <c r="A1025" t="str">
        <f>"37.0104"</f>
        <v>37.0104</v>
      </c>
      <c r="B1025" t="s">
        <v>2179</v>
      </c>
      <c r="C1025" s="8" t="s">
        <v>2180</v>
      </c>
      <c r="D1025" t="s">
        <v>250</v>
      </c>
      <c r="E1025" t="s">
        <v>251</v>
      </c>
      <c r="F1025" t="str">
        <f>"37.0104"</f>
        <v>37.0104</v>
      </c>
      <c r="G1025" s="8" t="s">
        <v>2180</v>
      </c>
    </row>
    <row r="1026" spans="1:7" ht="29" x14ac:dyDescent="0.35">
      <c r="D1026" t="s">
        <v>275</v>
      </c>
      <c r="E1026" t="s">
        <v>251</v>
      </c>
      <c r="F1026" t="str">
        <f>"37.0106"</f>
        <v>37.0106</v>
      </c>
      <c r="G1026" s="8" t="s">
        <v>2181</v>
      </c>
    </row>
    <row r="1027" spans="1:7" x14ac:dyDescent="0.35">
      <c r="D1027" t="s">
        <v>275</v>
      </c>
      <c r="E1027" t="s">
        <v>251</v>
      </c>
      <c r="F1027" t="str">
        <f>"37.0107"</f>
        <v>37.0107</v>
      </c>
      <c r="G1027" s="8" t="s">
        <v>2182</v>
      </c>
    </row>
    <row r="1028" spans="1:7" ht="29" x14ac:dyDescent="0.35">
      <c r="A1028" t="str">
        <f>"37.0199"</f>
        <v>37.0199</v>
      </c>
      <c r="B1028" t="s">
        <v>2183</v>
      </c>
      <c r="C1028" s="8" t="s">
        <v>2184</v>
      </c>
      <c r="D1028" t="s">
        <v>250</v>
      </c>
      <c r="E1028" t="s">
        <v>251</v>
      </c>
      <c r="F1028" t="str">
        <f>"37.0199"</f>
        <v>37.0199</v>
      </c>
      <c r="G1028" s="8" t="s">
        <v>2184</v>
      </c>
    </row>
    <row r="1029" spans="1:7" x14ac:dyDescent="0.35">
      <c r="A1029" t="str">
        <f>"38.0001"</f>
        <v>38.0001</v>
      </c>
      <c r="B1029" t="s">
        <v>2185</v>
      </c>
      <c r="C1029" s="8" t="s">
        <v>2186</v>
      </c>
      <c r="D1029" t="s">
        <v>250</v>
      </c>
      <c r="E1029" t="s">
        <v>251</v>
      </c>
      <c r="F1029" t="str">
        <f>"38.0001"</f>
        <v>38.0001</v>
      </c>
      <c r="G1029" s="8" t="s">
        <v>2186</v>
      </c>
    </row>
    <row r="1030" spans="1:7" x14ac:dyDescent="0.35">
      <c r="A1030" t="str">
        <f>"38.0101"</f>
        <v>38.0101</v>
      </c>
      <c r="B1030" t="s">
        <v>2187</v>
      </c>
      <c r="C1030" s="8" t="s">
        <v>2188</v>
      </c>
      <c r="D1030" t="s">
        <v>250</v>
      </c>
      <c r="E1030" t="s">
        <v>251</v>
      </c>
      <c r="F1030" t="str">
        <f>"38.0101"</f>
        <v>38.0101</v>
      </c>
      <c r="G1030" s="8" t="s">
        <v>2188</v>
      </c>
    </row>
    <row r="1031" spans="1:7" x14ac:dyDescent="0.35">
      <c r="A1031" t="str">
        <f>"38.0102"</f>
        <v>38.0102</v>
      </c>
      <c r="B1031" t="s">
        <v>2189</v>
      </c>
      <c r="C1031" s="8" t="s">
        <v>2190</v>
      </c>
      <c r="D1031" t="s">
        <v>250</v>
      </c>
      <c r="E1031" t="s">
        <v>251</v>
      </c>
      <c r="F1031" t="str">
        <f>"38.0102"</f>
        <v>38.0102</v>
      </c>
      <c r="G1031" s="8" t="s">
        <v>2190</v>
      </c>
    </row>
    <row r="1032" spans="1:7" x14ac:dyDescent="0.35">
      <c r="A1032" t="str">
        <f>"38.0103"</f>
        <v>38.0103</v>
      </c>
      <c r="B1032" t="s">
        <v>2191</v>
      </c>
      <c r="C1032" s="8" t="s">
        <v>2192</v>
      </c>
      <c r="D1032" t="s">
        <v>250</v>
      </c>
      <c r="E1032" t="s">
        <v>251</v>
      </c>
      <c r="F1032" t="str">
        <f>"38.0103"</f>
        <v>38.0103</v>
      </c>
      <c r="G1032" s="8" t="s">
        <v>2192</v>
      </c>
    </row>
    <row r="1033" spans="1:7" x14ac:dyDescent="0.35">
      <c r="A1033" t="str">
        <f>"38.0104"</f>
        <v>38.0104</v>
      </c>
      <c r="B1033" t="s">
        <v>2193</v>
      </c>
      <c r="C1033" s="8" t="s">
        <v>2194</v>
      </c>
      <c r="D1033" t="s">
        <v>250</v>
      </c>
      <c r="E1033" t="s">
        <v>251</v>
      </c>
      <c r="F1033" t="str">
        <f>"38.0104"</f>
        <v>38.0104</v>
      </c>
      <c r="G1033" s="8" t="s">
        <v>2194</v>
      </c>
    </row>
    <row r="1034" spans="1:7" x14ac:dyDescent="0.35">
      <c r="A1034" t="str">
        <f>"38.0199"</f>
        <v>38.0199</v>
      </c>
      <c r="B1034" t="s">
        <v>2195</v>
      </c>
      <c r="C1034" s="8" t="s">
        <v>2196</v>
      </c>
      <c r="D1034" t="s">
        <v>250</v>
      </c>
      <c r="E1034" t="s">
        <v>251</v>
      </c>
      <c r="F1034" t="str">
        <f>"38.0199"</f>
        <v>38.0199</v>
      </c>
      <c r="G1034" s="8" t="s">
        <v>2196</v>
      </c>
    </row>
    <row r="1035" spans="1:7" x14ac:dyDescent="0.35">
      <c r="A1035" t="str">
        <f>"38.0201"</f>
        <v>38.0201</v>
      </c>
      <c r="B1035" t="s">
        <v>2197</v>
      </c>
      <c r="C1035" s="8" t="s">
        <v>2198</v>
      </c>
      <c r="D1035" t="s">
        <v>250</v>
      </c>
      <c r="E1035" t="s">
        <v>251</v>
      </c>
      <c r="F1035" t="str">
        <f>"38.0201"</f>
        <v>38.0201</v>
      </c>
      <c r="G1035" s="8" t="s">
        <v>2198</v>
      </c>
    </row>
    <row r="1036" spans="1:7" x14ac:dyDescent="0.35">
      <c r="A1036" t="str">
        <f>"38.0202"</f>
        <v>38.0202</v>
      </c>
      <c r="B1036" t="s">
        <v>2199</v>
      </c>
      <c r="C1036" s="8" t="s">
        <v>2200</v>
      </c>
      <c r="D1036" t="s">
        <v>250</v>
      </c>
      <c r="E1036" t="s">
        <v>251</v>
      </c>
      <c r="F1036" t="str">
        <f>"38.0202"</f>
        <v>38.0202</v>
      </c>
      <c r="G1036" s="8" t="s">
        <v>2200</v>
      </c>
    </row>
    <row r="1037" spans="1:7" x14ac:dyDescent="0.35">
      <c r="A1037" t="str">
        <f>"38.0203"</f>
        <v>38.0203</v>
      </c>
      <c r="B1037" t="s">
        <v>2201</v>
      </c>
      <c r="C1037" s="8" t="s">
        <v>2202</v>
      </c>
      <c r="D1037" t="s">
        <v>250</v>
      </c>
      <c r="E1037" t="s">
        <v>251</v>
      </c>
      <c r="F1037" t="str">
        <f>"38.0203"</f>
        <v>38.0203</v>
      </c>
      <c r="G1037" s="8" t="s">
        <v>2202</v>
      </c>
    </row>
    <row r="1038" spans="1:7" x14ac:dyDescent="0.35">
      <c r="A1038" t="str">
        <f>"38.0204"</f>
        <v>38.0204</v>
      </c>
      <c r="B1038" t="s">
        <v>2203</v>
      </c>
      <c r="C1038" s="8" t="s">
        <v>2204</v>
      </c>
      <c r="D1038" t="s">
        <v>250</v>
      </c>
      <c r="E1038" t="s">
        <v>251</v>
      </c>
      <c r="F1038" t="str">
        <f>"38.0204"</f>
        <v>38.0204</v>
      </c>
      <c r="G1038" s="8" t="s">
        <v>2204</v>
      </c>
    </row>
    <row r="1039" spans="1:7" x14ac:dyDescent="0.35">
      <c r="A1039" t="str">
        <f>"38.0205"</f>
        <v>38.0205</v>
      </c>
      <c r="B1039" t="s">
        <v>2205</v>
      </c>
      <c r="C1039" s="8" t="s">
        <v>2206</v>
      </c>
      <c r="D1039" t="s">
        <v>250</v>
      </c>
      <c r="E1039" t="s">
        <v>251</v>
      </c>
      <c r="F1039" t="str">
        <f>"38.0205"</f>
        <v>38.0205</v>
      </c>
      <c r="G1039" s="8" t="s">
        <v>2206</v>
      </c>
    </row>
    <row r="1040" spans="1:7" x14ac:dyDescent="0.35">
      <c r="A1040" t="str">
        <f>"38.0206"</f>
        <v>38.0206</v>
      </c>
      <c r="B1040" t="s">
        <v>2207</v>
      </c>
      <c r="C1040" s="8" t="s">
        <v>2208</v>
      </c>
      <c r="D1040" t="s">
        <v>250</v>
      </c>
      <c r="E1040" t="s">
        <v>251</v>
      </c>
      <c r="F1040" t="str">
        <f>"38.0206"</f>
        <v>38.0206</v>
      </c>
      <c r="G1040" s="8" t="s">
        <v>2208</v>
      </c>
    </row>
    <row r="1041" spans="1:7" x14ac:dyDescent="0.35">
      <c r="D1041" t="s">
        <v>275</v>
      </c>
      <c r="E1041" t="s">
        <v>251</v>
      </c>
      <c r="F1041" t="str">
        <f>"38.0208"</f>
        <v>38.0208</v>
      </c>
      <c r="G1041" s="8" t="s">
        <v>2209</v>
      </c>
    </row>
    <row r="1042" spans="1:7" x14ac:dyDescent="0.35">
      <c r="D1042" t="s">
        <v>275</v>
      </c>
      <c r="E1042" t="s">
        <v>251</v>
      </c>
      <c r="F1042" t="str">
        <f>"38.0209"</f>
        <v>38.0209</v>
      </c>
      <c r="G1042" s="8" t="s">
        <v>2210</v>
      </c>
    </row>
    <row r="1043" spans="1:7" x14ac:dyDescent="0.35">
      <c r="A1043" t="str">
        <f>"38.0299"</f>
        <v>38.0299</v>
      </c>
      <c r="B1043" t="s">
        <v>2211</v>
      </c>
      <c r="C1043" s="8" t="s">
        <v>2212</v>
      </c>
      <c r="D1043" t="s">
        <v>250</v>
      </c>
      <c r="E1043" t="s">
        <v>251</v>
      </c>
      <c r="F1043" t="str">
        <f>"38.0299"</f>
        <v>38.0299</v>
      </c>
      <c r="G1043" s="8" t="s">
        <v>2212</v>
      </c>
    </row>
    <row r="1044" spans="1:7" x14ac:dyDescent="0.35">
      <c r="A1044" t="str">
        <f>"38.9999"</f>
        <v>38.9999</v>
      </c>
      <c r="B1044" t="s">
        <v>2213</v>
      </c>
      <c r="C1044" s="8" t="s">
        <v>2214</v>
      </c>
      <c r="D1044" t="s">
        <v>250</v>
      </c>
      <c r="E1044" t="s">
        <v>251</v>
      </c>
      <c r="F1044" t="str">
        <f>"38.9999"</f>
        <v>38.9999</v>
      </c>
      <c r="G1044" s="8" t="s">
        <v>2214</v>
      </c>
    </row>
    <row r="1045" spans="1:7" x14ac:dyDescent="0.35">
      <c r="A1045" t="str">
        <f>"39.0201"</f>
        <v>39.0201</v>
      </c>
      <c r="B1045" t="s">
        <v>2215</v>
      </c>
      <c r="C1045" s="8" t="s">
        <v>2216</v>
      </c>
      <c r="D1045" t="s">
        <v>250</v>
      </c>
      <c r="E1045" t="s">
        <v>251</v>
      </c>
      <c r="F1045" t="str">
        <f>"39.0201"</f>
        <v>39.0201</v>
      </c>
      <c r="G1045" s="8" t="s">
        <v>2216</v>
      </c>
    </row>
    <row r="1046" spans="1:7" ht="29" x14ac:dyDescent="0.35">
      <c r="A1046" t="str">
        <f>"39.0301"</f>
        <v>39.0301</v>
      </c>
      <c r="B1046" t="s">
        <v>2217</v>
      </c>
      <c r="C1046" s="8" t="s">
        <v>2218</v>
      </c>
      <c r="D1046" t="s">
        <v>250</v>
      </c>
      <c r="E1046" t="s">
        <v>264</v>
      </c>
      <c r="F1046" t="str">
        <f>"39.0301"</f>
        <v>39.0301</v>
      </c>
      <c r="G1046" s="8" t="s">
        <v>2219</v>
      </c>
    </row>
    <row r="1047" spans="1:7" x14ac:dyDescent="0.35">
      <c r="D1047" t="s">
        <v>275</v>
      </c>
      <c r="E1047" t="s">
        <v>251</v>
      </c>
      <c r="F1047" t="str">
        <f>"39.0302"</f>
        <v>39.0302</v>
      </c>
      <c r="G1047" s="8" t="s">
        <v>2220</v>
      </c>
    </row>
    <row r="1048" spans="1:7" ht="29" x14ac:dyDescent="0.35">
      <c r="D1048" t="s">
        <v>275</v>
      </c>
      <c r="E1048" t="s">
        <v>251</v>
      </c>
      <c r="F1048" t="str">
        <f>"39.0399"</f>
        <v>39.0399</v>
      </c>
      <c r="G1048" s="8" t="s">
        <v>2221</v>
      </c>
    </row>
    <row r="1049" spans="1:7" x14ac:dyDescent="0.35">
      <c r="A1049" t="str">
        <f>"39.0401"</f>
        <v>39.0401</v>
      </c>
      <c r="B1049" t="s">
        <v>2222</v>
      </c>
      <c r="C1049" s="8" t="s">
        <v>2223</v>
      </c>
      <c r="D1049" t="s">
        <v>250</v>
      </c>
      <c r="E1049" t="s">
        <v>251</v>
      </c>
      <c r="F1049" t="str">
        <f>"39.0401"</f>
        <v>39.0401</v>
      </c>
      <c r="G1049" s="8" t="s">
        <v>2223</v>
      </c>
    </row>
    <row r="1050" spans="1:7" x14ac:dyDescent="0.35">
      <c r="A1050" t="str">
        <f>"39.0501"</f>
        <v>39.0501</v>
      </c>
      <c r="B1050" t="s">
        <v>2224</v>
      </c>
      <c r="C1050" s="8" t="s">
        <v>2225</v>
      </c>
      <c r="D1050" t="s">
        <v>250</v>
      </c>
      <c r="E1050" t="s">
        <v>251</v>
      </c>
      <c r="F1050" t="str">
        <f>"39.0501"</f>
        <v>39.0501</v>
      </c>
      <c r="G1050" s="8" t="s">
        <v>2225</v>
      </c>
    </row>
    <row r="1051" spans="1:7" x14ac:dyDescent="0.35">
      <c r="D1051" t="s">
        <v>275</v>
      </c>
      <c r="E1051" t="s">
        <v>251</v>
      </c>
      <c r="F1051" t="str">
        <f>"39.0502"</f>
        <v>39.0502</v>
      </c>
      <c r="G1051" s="8" t="s">
        <v>2226</v>
      </c>
    </row>
    <row r="1052" spans="1:7" x14ac:dyDescent="0.35">
      <c r="D1052" t="s">
        <v>275</v>
      </c>
      <c r="E1052" t="s">
        <v>251</v>
      </c>
      <c r="F1052" t="str">
        <f>"39.0599"</f>
        <v>39.0599</v>
      </c>
      <c r="G1052" s="8" t="s">
        <v>2227</v>
      </c>
    </row>
    <row r="1053" spans="1:7" x14ac:dyDescent="0.35">
      <c r="A1053" t="str">
        <f>"39.0601"</f>
        <v>39.0601</v>
      </c>
      <c r="B1053" t="s">
        <v>2228</v>
      </c>
      <c r="C1053" s="8" t="s">
        <v>2229</v>
      </c>
      <c r="D1053" t="s">
        <v>250</v>
      </c>
      <c r="E1053" t="s">
        <v>251</v>
      </c>
      <c r="F1053" t="str">
        <f>"39.0601"</f>
        <v>39.0601</v>
      </c>
      <c r="G1053" s="8" t="s">
        <v>2229</v>
      </c>
    </row>
    <row r="1054" spans="1:7" x14ac:dyDescent="0.35">
      <c r="A1054" t="str">
        <f>"39.0602"</f>
        <v>39.0602</v>
      </c>
      <c r="B1054" t="s">
        <v>2230</v>
      </c>
      <c r="C1054" s="8" t="s">
        <v>2231</v>
      </c>
      <c r="D1054" t="s">
        <v>250</v>
      </c>
      <c r="E1054" t="s">
        <v>251</v>
      </c>
      <c r="F1054" t="str">
        <f>"39.0602"</f>
        <v>39.0602</v>
      </c>
      <c r="G1054" s="8" t="s">
        <v>2231</v>
      </c>
    </row>
    <row r="1055" spans="1:7" x14ac:dyDescent="0.35">
      <c r="A1055" t="str">
        <f>"39.0604"</f>
        <v>39.0604</v>
      </c>
      <c r="B1055" t="s">
        <v>2232</v>
      </c>
      <c r="C1055" s="8" t="s">
        <v>2233</v>
      </c>
      <c r="D1055" t="s">
        <v>250</v>
      </c>
      <c r="E1055" t="s">
        <v>251</v>
      </c>
      <c r="F1055" t="str">
        <f>"39.0604"</f>
        <v>39.0604</v>
      </c>
      <c r="G1055" s="8" t="s">
        <v>2233</v>
      </c>
    </row>
    <row r="1056" spans="1:7" x14ac:dyDescent="0.35">
      <c r="A1056" t="str">
        <f>"39.0605"</f>
        <v>39.0605</v>
      </c>
      <c r="B1056" t="s">
        <v>2234</v>
      </c>
      <c r="C1056" s="8" t="s">
        <v>2235</v>
      </c>
      <c r="D1056" t="s">
        <v>250</v>
      </c>
      <c r="E1056" t="s">
        <v>251</v>
      </c>
      <c r="F1056" t="str">
        <f>"39.0605"</f>
        <v>39.0605</v>
      </c>
      <c r="G1056" s="8" t="s">
        <v>2235</v>
      </c>
    </row>
    <row r="1057" spans="1:7" x14ac:dyDescent="0.35">
      <c r="A1057" t="str">
        <f>"39.0606"</f>
        <v>39.0606</v>
      </c>
      <c r="B1057" t="s">
        <v>2236</v>
      </c>
      <c r="C1057" s="8" t="s">
        <v>2237</v>
      </c>
      <c r="D1057" t="s">
        <v>295</v>
      </c>
      <c r="E1057" t="s">
        <v>264</v>
      </c>
      <c r="F1057" t="str">
        <f>"38.0207"</f>
        <v>38.0207</v>
      </c>
      <c r="G1057" s="8" t="s">
        <v>2237</v>
      </c>
    </row>
    <row r="1058" spans="1:7" x14ac:dyDescent="0.35">
      <c r="A1058" t="str">
        <f>"39.0699"</f>
        <v>39.0699</v>
      </c>
      <c r="B1058" t="s">
        <v>2238</v>
      </c>
      <c r="C1058" s="8" t="s">
        <v>2239</v>
      </c>
      <c r="D1058" t="s">
        <v>250</v>
      </c>
      <c r="E1058" t="s">
        <v>251</v>
      </c>
      <c r="F1058" t="str">
        <f>"39.0699"</f>
        <v>39.0699</v>
      </c>
      <c r="G1058" s="8" t="s">
        <v>2239</v>
      </c>
    </row>
    <row r="1059" spans="1:7" x14ac:dyDescent="0.35">
      <c r="A1059" t="str">
        <f>"39.0701"</f>
        <v>39.0701</v>
      </c>
      <c r="B1059" t="s">
        <v>2240</v>
      </c>
      <c r="C1059" s="8" t="s">
        <v>2241</v>
      </c>
      <c r="D1059" t="s">
        <v>250</v>
      </c>
      <c r="E1059" t="s">
        <v>251</v>
      </c>
      <c r="F1059" t="str">
        <f>"39.0701"</f>
        <v>39.0701</v>
      </c>
      <c r="G1059" s="8" t="s">
        <v>2241</v>
      </c>
    </row>
    <row r="1060" spans="1:7" x14ac:dyDescent="0.35">
      <c r="A1060" t="str">
        <f>"39.0702"</f>
        <v>39.0702</v>
      </c>
      <c r="B1060" t="s">
        <v>2242</v>
      </c>
      <c r="C1060" s="8" t="s">
        <v>2243</v>
      </c>
      <c r="D1060" t="s">
        <v>250</v>
      </c>
      <c r="E1060" t="s">
        <v>251</v>
      </c>
      <c r="F1060" t="str">
        <f>"39.0702"</f>
        <v>39.0702</v>
      </c>
      <c r="G1060" s="8" t="s">
        <v>2243</v>
      </c>
    </row>
    <row r="1061" spans="1:7" x14ac:dyDescent="0.35">
      <c r="A1061" t="str">
        <f>"39.0703"</f>
        <v>39.0703</v>
      </c>
      <c r="B1061" t="s">
        <v>2244</v>
      </c>
      <c r="C1061" s="8" t="s">
        <v>2245</v>
      </c>
      <c r="D1061" t="s">
        <v>250</v>
      </c>
      <c r="E1061" t="s">
        <v>251</v>
      </c>
      <c r="F1061" t="str">
        <f>"39.0703"</f>
        <v>39.0703</v>
      </c>
      <c r="G1061" s="8" t="s">
        <v>2245</v>
      </c>
    </row>
    <row r="1062" spans="1:7" x14ac:dyDescent="0.35">
      <c r="A1062" t="str">
        <f>"39.0704"</f>
        <v>39.0704</v>
      </c>
      <c r="B1062" t="s">
        <v>2246</v>
      </c>
      <c r="C1062" s="8" t="s">
        <v>2247</v>
      </c>
      <c r="D1062" t="s">
        <v>250</v>
      </c>
      <c r="E1062" t="s">
        <v>251</v>
      </c>
      <c r="F1062" t="str">
        <f>"39.0704"</f>
        <v>39.0704</v>
      </c>
      <c r="G1062" s="8" t="s">
        <v>2247</v>
      </c>
    </row>
    <row r="1063" spans="1:7" x14ac:dyDescent="0.35">
      <c r="A1063" t="str">
        <f>"39.0705"</f>
        <v>39.0705</v>
      </c>
      <c r="B1063" t="s">
        <v>2248</v>
      </c>
      <c r="C1063" s="8" t="s">
        <v>2249</v>
      </c>
      <c r="D1063" t="s">
        <v>250</v>
      </c>
      <c r="E1063" t="s">
        <v>251</v>
      </c>
      <c r="F1063" t="str">
        <f>"39.0705"</f>
        <v>39.0705</v>
      </c>
      <c r="G1063" s="8" t="s">
        <v>2249</v>
      </c>
    </row>
    <row r="1064" spans="1:7" x14ac:dyDescent="0.35">
      <c r="D1064" t="s">
        <v>275</v>
      </c>
      <c r="E1064" t="s">
        <v>251</v>
      </c>
      <c r="F1064" t="str">
        <f>"39.0706"</f>
        <v>39.0706</v>
      </c>
      <c r="G1064" s="8" t="s">
        <v>2250</v>
      </c>
    </row>
    <row r="1065" spans="1:7" ht="29" x14ac:dyDescent="0.35">
      <c r="A1065" t="str">
        <f>"39.0799"</f>
        <v>39.0799</v>
      </c>
      <c r="B1065" t="s">
        <v>2251</v>
      </c>
      <c r="C1065" s="8" t="s">
        <v>2252</v>
      </c>
      <c r="D1065" t="s">
        <v>250</v>
      </c>
      <c r="E1065" t="s">
        <v>251</v>
      </c>
      <c r="F1065" t="str">
        <f>"39.0799"</f>
        <v>39.0799</v>
      </c>
      <c r="G1065" s="8" t="s">
        <v>2252</v>
      </c>
    </row>
    <row r="1066" spans="1:7" ht="29" x14ac:dyDescent="0.35">
      <c r="D1066" t="s">
        <v>275</v>
      </c>
      <c r="E1066" t="s">
        <v>251</v>
      </c>
      <c r="F1066" t="str">
        <f>"39.0801"</f>
        <v>39.0801</v>
      </c>
      <c r="G1066" s="8" t="s">
        <v>2253</v>
      </c>
    </row>
    <row r="1067" spans="1:7" x14ac:dyDescent="0.35">
      <c r="D1067" t="s">
        <v>275</v>
      </c>
      <c r="E1067" t="s">
        <v>251</v>
      </c>
      <c r="F1067" t="str">
        <f>"39.0802"</f>
        <v>39.0802</v>
      </c>
      <c r="G1067" s="8" t="s">
        <v>2254</v>
      </c>
    </row>
    <row r="1068" spans="1:7" ht="29" x14ac:dyDescent="0.35">
      <c r="D1068" t="s">
        <v>275</v>
      </c>
      <c r="E1068" t="s">
        <v>251</v>
      </c>
      <c r="F1068" t="str">
        <f>"39.0899"</f>
        <v>39.0899</v>
      </c>
      <c r="G1068" s="8" t="s">
        <v>2255</v>
      </c>
    </row>
    <row r="1069" spans="1:7" x14ac:dyDescent="0.35">
      <c r="A1069" t="str">
        <f>"39.9999"</f>
        <v>39.9999</v>
      </c>
      <c r="B1069" t="s">
        <v>2256</v>
      </c>
      <c r="C1069" s="8" t="s">
        <v>2257</v>
      </c>
      <c r="D1069" t="s">
        <v>250</v>
      </c>
      <c r="E1069" t="s">
        <v>251</v>
      </c>
      <c r="F1069" t="str">
        <f>"39.9999"</f>
        <v>39.9999</v>
      </c>
      <c r="G1069" s="8" t="s">
        <v>2257</v>
      </c>
    </row>
    <row r="1070" spans="1:7" x14ac:dyDescent="0.35">
      <c r="A1070" t="str">
        <f>"40.0101"</f>
        <v>40.0101</v>
      </c>
      <c r="B1070" t="s">
        <v>2258</v>
      </c>
      <c r="C1070" s="8" t="s">
        <v>2259</v>
      </c>
      <c r="D1070" t="s">
        <v>250</v>
      </c>
      <c r="E1070" t="s">
        <v>264</v>
      </c>
      <c r="F1070" t="str">
        <f>"40.0101"</f>
        <v>40.0101</v>
      </c>
      <c r="G1070" s="8" t="s">
        <v>2260</v>
      </c>
    </row>
    <row r="1071" spans="1:7" x14ac:dyDescent="0.35">
      <c r="A1071" t="str">
        <f>"40.0201"</f>
        <v>40.0201</v>
      </c>
      <c r="B1071" t="s">
        <v>2261</v>
      </c>
      <c r="C1071" s="8" t="s">
        <v>2262</v>
      </c>
      <c r="D1071" t="s">
        <v>250</v>
      </c>
      <c r="E1071" t="s">
        <v>251</v>
      </c>
      <c r="F1071" t="str">
        <f>"40.0201"</f>
        <v>40.0201</v>
      </c>
      <c r="G1071" s="8" t="s">
        <v>2262</v>
      </c>
    </row>
    <row r="1072" spans="1:7" x14ac:dyDescent="0.35">
      <c r="A1072" t="str">
        <f>"40.0202"</f>
        <v>40.0202</v>
      </c>
      <c r="B1072" t="s">
        <v>2263</v>
      </c>
      <c r="C1072" s="8" t="s">
        <v>2264</v>
      </c>
      <c r="D1072" t="s">
        <v>250</v>
      </c>
      <c r="E1072" t="s">
        <v>251</v>
      </c>
      <c r="F1072" t="str">
        <f>"40.0202"</f>
        <v>40.0202</v>
      </c>
      <c r="G1072" s="8" t="s">
        <v>2264</v>
      </c>
    </row>
    <row r="1073" spans="1:7" x14ac:dyDescent="0.35">
      <c r="A1073" t="str">
        <f>"40.0203"</f>
        <v>40.0203</v>
      </c>
      <c r="B1073" t="s">
        <v>2265</v>
      </c>
      <c r="C1073" s="8" t="s">
        <v>2266</v>
      </c>
      <c r="D1073" t="s">
        <v>250</v>
      </c>
      <c r="E1073" t="s">
        <v>251</v>
      </c>
      <c r="F1073" t="str">
        <f>"40.0203"</f>
        <v>40.0203</v>
      </c>
      <c r="G1073" s="8" t="s">
        <v>2266</v>
      </c>
    </row>
    <row r="1074" spans="1:7" x14ac:dyDescent="0.35">
      <c r="A1074" t="str">
        <f>"40.0299"</f>
        <v>40.0299</v>
      </c>
      <c r="B1074" t="s">
        <v>2267</v>
      </c>
      <c r="C1074" s="8" t="s">
        <v>2268</v>
      </c>
      <c r="D1074" t="s">
        <v>250</v>
      </c>
      <c r="E1074" t="s">
        <v>251</v>
      </c>
      <c r="F1074" t="str">
        <f>"40.0299"</f>
        <v>40.0299</v>
      </c>
      <c r="G1074" s="8" t="s">
        <v>2268</v>
      </c>
    </row>
    <row r="1075" spans="1:7" ht="29" x14ac:dyDescent="0.35">
      <c r="A1075" t="str">
        <f>"40.0401"</f>
        <v>40.0401</v>
      </c>
      <c r="B1075" t="s">
        <v>2269</v>
      </c>
      <c r="C1075" s="8" t="s">
        <v>2270</v>
      </c>
      <c r="D1075" t="s">
        <v>250</v>
      </c>
      <c r="E1075" t="s">
        <v>251</v>
      </c>
      <c r="F1075" t="str">
        <f>"40.0401"</f>
        <v>40.0401</v>
      </c>
      <c r="G1075" s="8" t="s">
        <v>2270</v>
      </c>
    </row>
    <row r="1076" spans="1:7" x14ac:dyDescent="0.35">
      <c r="A1076" t="str">
        <f>"40.0402"</f>
        <v>40.0402</v>
      </c>
      <c r="B1076" t="s">
        <v>2271</v>
      </c>
      <c r="C1076" s="8" t="s">
        <v>2272</v>
      </c>
      <c r="D1076" t="s">
        <v>250</v>
      </c>
      <c r="E1076" t="s">
        <v>251</v>
      </c>
      <c r="F1076" t="str">
        <f>"40.0402"</f>
        <v>40.0402</v>
      </c>
      <c r="G1076" s="8" t="s">
        <v>2272</v>
      </c>
    </row>
    <row r="1077" spans="1:7" x14ac:dyDescent="0.35">
      <c r="A1077" t="str">
        <f>"40.0403"</f>
        <v>40.0403</v>
      </c>
      <c r="B1077" t="s">
        <v>2273</v>
      </c>
      <c r="C1077" s="8" t="s">
        <v>2274</v>
      </c>
      <c r="D1077" t="s">
        <v>250</v>
      </c>
      <c r="E1077" t="s">
        <v>251</v>
      </c>
      <c r="F1077" t="str">
        <f>"40.0403"</f>
        <v>40.0403</v>
      </c>
      <c r="G1077" s="8" t="s">
        <v>2274</v>
      </c>
    </row>
    <row r="1078" spans="1:7" x14ac:dyDescent="0.35">
      <c r="A1078" t="str">
        <f>"40.0404"</f>
        <v>40.0404</v>
      </c>
      <c r="B1078" t="s">
        <v>2275</v>
      </c>
      <c r="C1078" s="8" t="s">
        <v>2276</v>
      </c>
      <c r="D1078" t="s">
        <v>250</v>
      </c>
      <c r="E1078" t="s">
        <v>251</v>
      </c>
      <c r="F1078" t="str">
        <f>"40.0404"</f>
        <v>40.0404</v>
      </c>
      <c r="G1078" s="8" t="s">
        <v>2276</v>
      </c>
    </row>
    <row r="1079" spans="1:7" ht="29" x14ac:dyDescent="0.35">
      <c r="A1079" t="str">
        <f>"40.0499"</f>
        <v>40.0499</v>
      </c>
      <c r="B1079" t="s">
        <v>2277</v>
      </c>
      <c r="C1079" s="8" t="s">
        <v>2278</v>
      </c>
      <c r="D1079" t="s">
        <v>250</v>
      </c>
      <c r="E1079" t="s">
        <v>251</v>
      </c>
      <c r="F1079" t="str">
        <f>"40.0499"</f>
        <v>40.0499</v>
      </c>
      <c r="G1079" s="8" t="s">
        <v>2278</v>
      </c>
    </row>
    <row r="1080" spans="1:7" x14ac:dyDescent="0.35">
      <c r="A1080" t="str">
        <f>"40.0501"</f>
        <v>40.0501</v>
      </c>
      <c r="B1080" t="s">
        <v>2279</v>
      </c>
      <c r="C1080" s="8" t="s">
        <v>2280</v>
      </c>
      <c r="D1080" t="s">
        <v>250</v>
      </c>
      <c r="E1080" t="s">
        <v>251</v>
      </c>
      <c r="F1080" t="str">
        <f>"40.0501"</f>
        <v>40.0501</v>
      </c>
      <c r="G1080" s="8" t="s">
        <v>2280</v>
      </c>
    </row>
    <row r="1081" spans="1:7" x14ac:dyDescent="0.35">
      <c r="A1081" t="str">
        <f>"40.0502"</f>
        <v>40.0502</v>
      </c>
      <c r="B1081" t="s">
        <v>2281</v>
      </c>
      <c r="C1081" s="8" t="s">
        <v>2282</v>
      </c>
      <c r="D1081" t="s">
        <v>250</v>
      </c>
      <c r="E1081" t="s">
        <v>251</v>
      </c>
      <c r="F1081" t="str">
        <f>"40.0502"</f>
        <v>40.0502</v>
      </c>
      <c r="G1081" s="8" t="s">
        <v>2282</v>
      </c>
    </row>
    <row r="1082" spans="1:7" x14ac:dyDescent="0.35">
      <c r="A1082" t="str">
        <f>"40.0503"</f>
        <v>40.0503</v>
      </c>
      <c r="B1082" t="s">
        <v>2283</v>
      </c>
      <c r="C1082" s="8" t="s">
        <v>2284</v>
      </c>
      <c r="D1082" t="s">
        <v>250</v>
      </c>
      <c r="E1082" t="s">
        <v>251</v>
      </c>
      <c r="F1082" t="str">
        <f>"40.0503"</f>
        <v>40.0503</v>
      </c>
      <c r="G1082" s="8" t="s">
        <v>2284</v>
      </c>
    </row>
    <row r="1083" spans="1:7" x14ac:dyDescent="0.35">
      <c r="A1083" t="str">
        <f>"40.0504"</f>
        <v>40.0504</v>
      </c>
      <c r="B1083" t="s">
        <v>2285</v>
      </c>
      <c r="C1083" s="8" t="s">
        <v>2286</v>
      </c>
      <c r="D1083" t="s">
        <v>250</v>
      </c>
      <c r="E1083" t="s">
        <v>251</v>
      </c>
      <c r="F1083" t="str">
        <f>"40.0504"</f>
        <v>40.0504</v>
      </c>
      <c r="G1083" s="8" t="s">
        <v>2286</v>
      </c>
    </row>
    <row r="1084" spans="1:7" x14ac:dyDescent="0.35">
      <c r="A1084" t="str">
        <f>"40.0506"</f>
        <v>40.0506</v>
      </c>
      <c r="B1084" t="s">
        <v>2287</v>
      </c>
      <c r="C1084" s="8" t="s">
        <v>2288</v>
      </c>
      <c r="D1084" t="s">
        <v>250</v>
      </c>
      <c r="E1084" t="s">
        <v>251</v>
      </c>
      <c r="F1084" t="str">
        <f>"40.0506"</f>
        <v>40.0506</v>
      </c>
      <c r="G1084" s="8" t="s">
        <v>2288</v>
      </c>
    </row>
    <row r="1085" spans="1:7" x14ac:dyDescent="0.35">
      <c r="A1085" t="str">
        <f>"40.0507"</f>
        <v>40.0507</v>
      </c>
      <c r="B1085" t="s">
        <v>2289</v>
      </c>
      <c r="C1085" s="8" t="s">
        <v>2290</v>
      </c>
      <c r="D1085" t="s">
        <v>250</v>
      </c>
      <c r="E1085" t="s">
        <v>251</v>
      </c>
      <c r="F1085" t="str">
        <f>"40.0507"</f>
        <v>40.0507</v>
      </c>
      <c r="G1085" s="8" t="s">
        <v>2290</v>
      </c>
    </row>
    <row r="1086" spans="1:7" x14ac:dyDescent="0.35">
      <c r="A1086" t="str">
        <f>"40.0508"</f>
        <v>40.0508</v>
      </c>
      <c r="B1086" t="s">
        <v>2291</v>
      </c>
      <c r="C1086" s="8" t="s">
        <v>2292</v>
      </c>
      <c r="D1086" t="s">
        <v>250</v>
      </c>
      <c r="E1086" t="s">
        <v>251</v>
      </c>
      <c r="F1086" t="str">
        <f>"40.0508"</f>
        <v>40.0508</v>
      </c>
      <c r="G1086" s="8" t="s">
        <v>2292</v>
      </c>
    </row>
    <row r="1087" spans="1:7" x14ac:dyDescent="0.35">
      <c r="A1087" t="str">
        <f>"40.0509"</f>
        <v>40.0509</v>
      </c>
      <c r="B1087" t="s">
        <v>2293</v>
      </c>
      <c r="C1087" s="8" t="s">
        <v>2294</v>
      </c>
      <c r="D1087" t="s">
        <v>250</v>
      </c>
      <c r="E1087" t="s">
        <v>251</v>
      </c>
      <c r="F1087" t="str">
        <f>"40.0509"</f>
        <v>40.0509</v>
      </c>
      <c r="G1087" s="8" t="s">
        <v>2294</v>
      </c>
    </row>
    <row r="1088" spans="1:7" x14ac:dyDescent="0.35">
      <c r="A1088" t="str">
        <f>"40.0510"</f>
        <v>40.0510</v>
      </c>
      <c r="B1088" t="s">
        <v>2295</v>
      </c>
      <c r="C1088" s="8" t="s">
        <v>2296</v>
      </c>
      <c r="D1088" t="s">
        <v>250</v>
      </c>
      <c r="E1088" t="s">
        <v>251</v>
      </c>
      <c r="F1088" t="str">
        <f>"40.0510"</f>
        <v>40.0510</v>
      </c>
      <c r="G1088" s="8" t="s">
        <v>2296</v>
      </c>
    </row>
    <row r="1089" spans="1:7" x14ac:dyDescent="0.35">
      <c r="A1089" t="str">
        <f>"40.0511"</f>
        <v>40.0511</v>
      </c>
      <c r="B1089" t="s">
        <v>2297</v>
      </c>
      <c r="C1089" s="8" t="s">
        <v>2298</v>
      </c>
      <c r="D1089" t="s">
        <v>250</v>
      </c>
      <c r="E1089" t="s">
        <v>251</v>
      </c>
      <c r="F1089" t="str">
        <f>"40.0511"</f>
        <v>40.0511</v>
      </c>
      <c r="G1089" s="8" t="s">
        <v>2298</v>
      </c>
    </row>
    <row r="1090" spans="1:7" x14ac:dyDescent="0.35">
      <c r="D1090" t="s">
        <v>275</v>
      </c>
      <c r="E1090" t="s">
        <v>251</v>
      </c>
      <c r="F1090" t="str">
        <f>"40.0512"</f>
        <v>40.0512</v>
      </c>
      <c r="G1090" s="8" t="s">
        <v>2299</v>
      </c>
    </row>
    <row r="1091" spans="1:7" x14ac:dyDescent="0.35">
      <c r="A1091" t="str">
        <f>"40.0599"</f>
        <v>40.0599</v>
      </c>
      <c r="B1091" t="s">
        <v>2300</v>
      </c>
      <c r="C1091" s="8" t="s">
        <v>2301</v>
      </c>
      <c r="D1091" t="s">
        <v>250</v>
      </c>
      <c r="E1091" t="s">
        <v>251</v>
      </c>
      <c r="F1091" t="str">
        <f>"40.0599"</f>
        <v>40.0599</v>
      </c>
      <c r="G1091" s="8" t="s">
        <v>2301</v>
      </c>
    </row>
    <row r="1092" spans="1:7" x14ac:dyDescent="0.35">
      <c r="A1092" t="str">
        <f>"40.0601"</f>
        <v>40.0601</v>
      </c>
      <c r="B1092" t="s">
        <v>2302</v>
      </c>
      <c r="C1092" s="8" t="s">
        <v>2303</v>
      </c>
      <c r="D1092" t="s">
        <v>250</v>
      </c>
      <c r="E1092" t="s">
        <v>251</v>
      </c>
      <c r="F1092" t="str">
        <f>"40.0601"</f>
        <v>40.0601</v>
      </c>
      <c r="G1092" s="8" t="s">
        <v>2303</v>
      </c>
    </row>
    <row r="1093" spans="1:7" x14ac:dyDescent="0.35">
      <c r="A1093" t="str">
        <f>"40.0602"</f>
        <v>40.0602</v>
      </c>
      <c r="B1093" t="s">
        <v>2304</v>
      </c>
      <c r="C1093" s="8" t="s">
        <v>2305</v>
      </c>
      <c r="D1093" t="s">
        <v>250</v>
      </c>
      <c r="E1093" t="s">
        <v>251</v>
      </c>
      <c r="F1093" t="str">
        <f>"40.0602"</f>
        <v>40.0602</v>
      </c>
      <c r="G1093" s="8" t="s">
        <v>2305</v>
      </c>
    </row>
    <row r="1094" spans="1:7" x14ac:dyDescent="0.35">
      <c r="A1094" t="str">
        <f>"40.0603"</f>
        <v>40.0603</v>
      </c>
      <c r="B1094" t="s">
        <v>2306</v>
      </c>
      <c r="C1094" s="8" t="s">
        <v>2307</v>
      </c>
      <c r="D1094" t="s">
        <v>250</v>
      </c>
      <c r="E1094" t="s">
        <v>251</v>
      </c>
      <c r="F1094" t="str">
        <f>"40.0603"</f>
        <v>40.0603</v>
      </c>
      <c r="G1094" s="8" t="s">
        <v>2307</v>
      </c>
    </row>
    <row r="1095" spans="1:7" x14ac:dyDescent="0.35">
      <c r="A1095" t="str">
        <f>"40.0604"</f>
        <v>40.0604</v>
      </c>
      <c r="B1095" t="s">
        <v>2308</v>
      </c>
      <c r="C1095" s="8" t="s">
        <v>2309</v>
      </c>
      <c r="D1095" t="s">
        <v>250</v>
      </c>
      <c r="E1095" t="s">
        <v>251</v>
      </c>
      <c r="F1095" t="str">
        <f>"40.0604"</f>
        <v>40.0604</v>
      </c>
      <c r="G1095" s="8" t="s">
        <v>2309</v>
      </c>
    </row>
    <row r="1096" spans="1:7" x14ac:dyDescent="0.35">
      <c r="A1096" t="str">
        <f>"40.0605"</f>
        <v>40.0605</v>
      </c>
      <c r="B1096" t="s">
        <v>2310</v>
      </c>
      <c r="C1096" s="8" t="s">
        <v>2311</v>
      </c>
      <c r="D1096" t="s">
        <v>250</v>
      </c>
      <c r="E1096" t="s">
        <v>251</v>
      </c>
      <c r="F1096" t="str">
        <f>"40.0605"</f>
        <v>40.0605</v>
      </c>
      <c r="G1096" s="8" t="s">
        <v>2311</v>
      </c>
    </row>
    <row r="1097" spans="1:7" x14ac:dyDescent="0.35">
      <c r="A1097" t="str">
        <f>"40.0606"</f>
        <v>40.0606</v>
      </c>
      <c r="B1097" t="s">
        <v>2312</v>
      </c>
      <c r="C1097" s="8" t="s">
        <v>2313</v>
      </c>
      <c r="D1097" t="s">
        <v>250</v>
      </c>
      <c r="E1097" t="s">
        <v>251</v>
      </c>
      <c r="F1097" t="str">
        <f>"40.0606"</f>
        <v>40.0606</v>
      </c>
      <c r="G1097" s="8" t="s">
        <v>2313</v>
      </c>
    </row>
    <row r="1098" spans="1:7" x14ac:dyDescent="0.35">
      <c r="A1098" t="str">
        <f>"40.0607"</f>
        <v>40.0607</v>
      </c>
      <c r="B1098" t="s">
        <v>2314</v>
      </c>
      <c r="C1098" s="8" t="s">
        <v>2315</v>
      </c>
      <c r="D1098" t="s">
        <v>250</v>
      </c>
      <c r="E1098" t="s">
        <v>251</v>
      </c>
      <c r="F1098" t="str">
        <f>"40.0607"</f>
        <v>40.0607</v>
      </c>
      <c r="G1098" s="8" t="s">
        <v>2315</v>
      </c>
    </row>
    <row r="1099" spans="1:7" ht="29" x14ac:dyDescent="0.35">
      <c r="A1099" t="str">
        <f>"40.0699"</f>
        <v>40.0699</v>
      </c>
      <c r="B1099" t="s">
        <v>2316</v>
      </c>
      <c r="C1099" s="8" t="s">
        <v>2317</v>
      </c>
      <c r="D1099" t="s">
        <v>250</v>
      </c>
      <c r="E1099" t="s">
        <v>251</v>
      </c>
      <c r="F1099" t="str">
        <f>"40.0699"</f>
        <v>40.0699</v>
      </c>
      <c r="G1099" s="8" t="s">
        <v>2317</v>
      </c>
    </row>
    <row r="1100" spans="1:7" x14ac:dyDescent="0.35">
      <c r="A1100" t="str">
        <f>"40.0801"</f>
        <v>40.0801</v>
      </c>
      <c r="B1100" t="s">
        <v>2318</v>
      </c>
      <c r="C1100" s="8" t="s">
        <v>2319</v>
      </c>
      <c r="D1100" t="s">
        <v>250</v>
      </c>
      <c r="E1100" t="s">
        <v>251</v>
      </c>
      <c r="F1100" t="str">
        <f>"40.0801"</f>
        <v>40.0801</v>
      </c>
      <c r="G1100" s="8" t="s">
        <v>2319</v>
      </c>
    </row>
    <row r="1101" spans="1:7" x14ac:dyDescent="0.35">
      <c r="A1101" t="str">
        <f>"40.0802"</f>
        <v>40.0802</v>
      </c>
      <c r="B1101" t="s">
        <v>2320</v>
      </c>
      <c r="C1101" s="8" t="s">
        <v>2321</v>
      </c>
      <c r="D1101" t="s">
        <v>250</v>
      </c>
      <c r="E1101" t="s">
        <v>251</v>
      </c>
      <c r="F1101" t="str">
        <f>"40.0802"</f>
        <v>40.0802</v>
      </c>
      <c r="G1101" s="8" t="s">
        <v>2321</v>
      </c>
    </row>
    <row r="1102" spans="1:7" x14ac:dyDescent="0.35">
      <c r="A1102" t="str">
        <f>"40.0804"</f>
        <v>40.0804</v>
      </c>
      <c r="B1102" t="s">
        <v>2322</v>
      </c>
      <c r="C1102" s="8" t="s">
        <v>2323</v>
      </c>
      <c r="D1102" t="s">
        <v>250</v>
      </c>
      <c r="E1102" t="s">
        <v>251</v>
      </c>
      <c r="F1102" t="str">
        <f>"40.0804"</f>
        <v>40.0804</v>
      </c>
      <c r="G1102" s="8" t="s">
        <v>2323</v>
      </c>
    </row>
    <row r="1103" spans="1:7" x14ac:dyDescent="0.35">
      <c r="A1103" t="str">
        <f>"40.0805"</f>
        <v>40.0805</v>
      </c>
      <c r="B1103" t="s">
        <v>2324</v>
      </c>
      <c r="C1103" s="8" t="s">
        <v>2325</v>
      </c>
      <c r="D1103" t="s">
        <v>250</v>
      </c>
      <c r="E1103" t="s">
        <v>251</v>
      </c>
      <c r="F1103" t="str">
        <f>"40.0805"</f>
        <v>40.0805</v>
      </c>
      <c r="G1103" s="8" t="s">
        <v>2325</v>
      </c>
    </row>
    <row r="1104" spans="1:7" x14ac:dyDescent="0.35">
      <c r="A1104" t="str">
        <f>"40.0806"</f>
        <v>40.0806</v>
      </c>
      <c r="B1104" t="s">
        <v>2326</v>
      </c>
      <c r="C1104" s="8" t="s">
        <v>2327</v>
      </c>
      <c r="D1104" t="s">
        <v>250</v>
      </c>
      <c r="E1104" t="s">
        <v>251</v>
      </c>
      <c r="F1104" t="str">
        <f>"40.0806"</f>
        <v>40.0806</v>
      </c>
      <c r="G1104" s="8" t="s">
        <v>2327</v>
      </c>
    </row>
    <row r="1105" spans="1:7" x14ac:dyDescent="0.35">
      <c r="A1105" t="str">
        <f>"40.0807"</f>
        <v>40.0807</v>
      </c>
      <c r="B1105" t="s">
        <v>2328</v>
      </c>
      <c r="C1105" s="8" t="s">
        <v>2329</v>
      </c>
      <c r="D1105" t="s">
        <v>250</v>
      </c>
      <c r="E1105" t="s">
        <v>251</v>
      </c>
      <c r="F1105" t="str">
        <f>"40.0807"</f>
        <v>40.0807</v>
      </c>
      <c r="G1105" s="8" t="s">
        <v>2329</v>
      </c>
    </row>
    <row r="1106" spans="1:7" x14ac:dyDescent="0.35">
      <c r="A1106" t="str">
        <f>"40.0808"</f>
        <v>40.0808</v>
      </c>
      <c r="B1106" t="s">
        <v>2330</v>
      </c>
      <c r="C1106" s="8" t="s">
        <v>2331</v>
      </c>
      <c r="D1106" t="s">
        <v>250</v>
      </c>
      <c r="E1106" t="s">
        <v>251</v>
      </c>
      <c r="F1106" t="str">
        <f>"40.0808"</f>
        <v>40.0808</v>
      </c>
      <c r="G1106" s="8" t="s">
        <v>2331</v>
      </c>
    </row>
    <row r="1107" spans="1:7" x14ac:dyDescent="0.35">
      <c r="A1107" t="str">
        <f>"40.0809"</f>
        <v>40.0809</v>
      </c>
      <c r="B1107" t="s">
        <v>2332</v>
      </c>
      <c r="C1107" s="8" t="s">
        <v>2333</v>
      </c>
      <c r="D1107" t="s">
        <v>250</v>
      </c>
      <c r="E1107" t="s">
        <v>251</v>
      </c>
      <c r="F1107" t="str">
        <f>"40.0809"</f>
        <v>40.0809</v>
      </c>
      <c r="G1107" s="8" t="s">
        <v>2333</v>
      </c>
    </row>
    <row r="1108" spans="1:7" x14ac:dyDescent="0.35">
      <c r="A1108" t="str">
        <f>"40.0810"</f>
        <v>40.0810</v>
      </c>
      <c r="B1108" t="s">
        <v>2334</v>
      </c>
      <c r="C1108" s="8" t="s">
        <v>2335</v>
      </c>
      <c r="D1108" t="s">
        <v>250</v>
      </c>
      <c r="E1108" t="s">
        <v>251</v>
      </c>
      <c r="F1108" t="str">
        <f>"40.0810"</f>
        <v>40.0810</v>
      </c>
      <c r="G1108" s="8" t="s">
        <v>2335</v>
      </c>
    </row>
    <row r="1109" spans="1:7" x14ac:dyDescent="0.35">
      <c r="A1109" t="str">
        <f>"40.0899"</f>
        <v>40.0899</v>
      </c>
      <c r="B1109" t="s">
        <v>2336</v>
      </c>
      <c r="C1109" s="8" t="s">
        <v>2337</v>
      </c>
      <c r="D1109" t="s">
        <v>250</v>
      </c>
      <c r="E1109" t="s">
        <v>251</v>
      </c>
      <c r="F1109" t="str">
        <f>"40.0899"</f>
        <v>40.0899</v>
      </c>
      <c r="G1109" s="8" t="s">
        <v>2337</v>
      </c>
    </row>
    <row r="1110" spans="1:7" x14ac:dyDescent="0.35">
      <c r="A1110" t="str">
        <f>"40.1001"</f>
        <v>40.1001</v>
      </c>
      <c r="B1110" t="s">
        <v>2338</v>
      </c>
      <c r="C1110" s="8" t="s">
        <v>2339</v>
      </c>
      <c r="D1110" t="s">
        <v>250</v>
      </c>
      <c r="E1110" t="s">
        <v>251</v>
      </c>
      <c r="F1110" t="str">
        <f>"40.1001"</f>
        <v>40.1001</v>
      </c>
      <c r="G1110" s="8" t="s">
        <v>2339</v>
      </c>
    </row>
    <row r="1111" spans="1:7" x14ac:dyDescent="0.35">
      <c r="A1111" t="str">
        <f>"40.1002"</f>
        <v>40.1002</v>
      </c>
      <c r="B1111" t="s">
        <v>2340</v>
      </c>
      <c r="C1111" s="8" t="s">
        <v>2341</v>
      </c>
      <c r="D1111" t="s">
        <v>250</v>
      </c>
      <c r="E1111" t="s">
        <v>251</v>
      </c>
      <c r="F1111" t="str">
        <f>"40.1002"</f>
        <v>40.1002</v>
      </c>
      <c r="G1111" s="8" t="s">
        <v>2341</v>
      </c>
    </row>
    <row r="1112" spans="1:7" x14ac:dyDescent="0.35">
      <c r="A1112" t="str">
        <f>"40.1099"</f>
        <v>40.1099</v>
      </c>
      <c r="B1112" t="s">
        <v>2342</v>
      </c>
      <c r="C1112" s="8" t="s">
        <v>2343</v>
      </c>
      <c r="D1112" t="s">
        <v>250</v>
      </c>
      <c r="E1112" t="s">
        <v>251</v>
      </c>
      <c r="F1112" t="str">
        <f>"40.1099"</f>
        <v>40.1099</v>
      </c>
      <c r="G1112" s="8" t="s">
        <v>2343</v>
      </c>
    </row>
    <row r="1113" spans="1:7" x14ac:dyDescent="0.35">
      <c r="D1113" t="s">
        <v>275</v>
      </c>
      <c r="E1113" t="s">
        <v>251</v>
      </c>
      <c r="F1113" t="str">
        <f>"40.1101"</f>
        <v>40.1101</v>
      </c>
      <c r="G1113" s="8" t="s">
        <v>2344</v>
      </c>
    </row>
    <row r="1114" spans="1:7" x14ac:dyDescent="0.35">
      <c r="A1114" t="str">
        <f>"40.9999"</f>
        <v>40.9999</v>
      </c>
      <c r="B1114" t="s">
        <v>2345</v>
      </c>
      <c r="C1114" s="8" t="s">
        <v>2346</v>
      </c>
      <c r="D1114" t="s">
        <v>250</v>
      </c>
      <c r="E1114" t="s">
        <v>251</v>
      </c>
      <c r="F1114" t="str">
        <f>"40.9999"</f>
        <v>40.9999</v>
      </c>
      <c r="G1114" s="8" t="s">
        <v>2346</v>
      </c>
    </row>
    <row r="1115" spans="1:7" ht="29" x14ac:dyDescent="0.35">
      <c r="A1115" t="str">
        <f>"41.0000"</f>
        <v>41.0000</v>
      </c>
      <c r="B1115" t="s">
        <v>2347</v>
      </c>
      <c r="C1115" s="8" t="s">
        <v>2348</v>
      </c>
      <c r="D1115" t="s">
        <v>250</v>
      </c>
      <c r="E1115" t="s">
        <v>251</v>
      </c>
      <c r="F1115" t="str">
        <f>"41.0000"</f>
        <v>41.0000</v>
      </c>
      <c r="G1115" s="8" t="s">
        <v>2348</v>
      </c>
    </row>
    <row r="1116" spans="1:7" ht="29" x14ac:dyDescent="0.35">
      <c r="A1116" t="str">
        <f>"41.0101"</f>
        <v>41.0101</v>
      </c>
      <c r="B1116" t="s">
        <v>2349</v>
      </c>
      <c r="C1116" s="8" t="s">
        <v>2350</v>
      </c>
      <c r="D1116" t="s">
        <v>250</v>
      </c>
      <c r="E1116" t="s">
        <v>264</v>
      </c>
      <c r="F1116" t="str">
        <f>"41.0101"</f>
        <v>41.0101</v>
      </c>
      <c r="G1116" s="8" t="s">
        <v>2351</v>
      </c>
    </row>
    <row r="1117" spans="1:7" ht="29" x14ac:dyDescent="0.35">
      <c r="A1117" t="str">
        <f>"41.0204"</f>
        <v>41.0204</v>
      </c>
      <c r="B1117" t="s">
        <v>2352</v>
      </c>
      <c r="C1117" s="8" t="s">
        <v>2353</v>
      </c>
      <c r="D1117" t="s">
        <v>250</v>
      </c>
      <c r="E1117" t="s">
        <v>251</v>
      </c>
      <c r="F1117" t="str">
        <f>"41.0204"</f>
        <v>41.0204</v>
      </c>
      <c r="G1117" s="8" t="s">
        <v>2353</v>
      </c>
    </row>
    <row r="1118" spans="1:7" ht="29" x14ac:dyDescent="0.35">
      <c r="A1118" t="str">
        <f>"41.0205"</f>
        <v>41.0205</v>
      </c>
      <c r="B1118" t="s">
        <v>2354</v>
      </c>
      <c r="C1118" s="8" t="s">
        <v>2355</v>
      </c>
      <c r="D1118" t="s">
        <v>250</v>
      </c>
      <c r="E1118" t="s">
        <v>251</v>
      </c>
      <c r="F1118" t="str">
        <f>"41.0205"</f>
        <v>41.0205</v>
      </c>
      <c r="G1118" s="8" t="s">
        <v>2355</v>
      </c>
    </row>
    <row r="1119" spans="1:7" ht="29" x14ac:dyDescent="0.35">
      <c r="A1119" t="str">
        <f>"41.0299"</f>
        <v>41.0299</v>
      </c>
      <c r="B1119" t="s">
        <v>2356</v>
      </c>
      <c r="C1119" s="8" t="s">
        <v>2357</v>
      </c>
      <c r="D1119" t="s">
        <v>250</v>
      </c>
      <c r="E1119" t="s">
        <v>251</v>
      </c>
      <c r="F1119" t="str">
        <f>"41.0299"</f>
        <v>41.0299</v>
      </c>
      <c r="G1119" s="8" t="s">
        <v>2357</v>
      </c>
    </row>
    <row r="1120" spans="1:7" x14ac:dyDescent="0.35">
      <c r="A1120" t="str">
        <f>"41.0301"</f>
        <v>41.0301</v>
      </c>
      <c r="B1120" t="s">
        <v>2358</v>
      </c>
      <c r="C1120" s="8" t="s">
        <v>2359</v>
      </c>
      <c r="D1120" t="s">
        <v>250</v>
      </c>
      <c r="E1120" t="s">
        <v>251</v>
      </c>
      <c r="F1120" t="str">
        <f>"41.0301"</f>
        <v>41.0301</v>
      </c>
      <c r="G1120" s="8" t="s">
        <v>2359</v>
      </c>
    </row>
    <row r="1121" spans="1:7" x14ac:dyDescent="0.35">
      <c r="A1121" t="str">
        <f>"41.0303"</f>
        <v>41.0303</v>
      </c>
      <c r="B1121" t="s">
        <v>2360</v>
      </c>
      <c r="C1121" s="8" t="s">
        <v>2361</v>
      </c>
      <c r="D1121" t="s">
        <v>250</v>
      </c>
      <c r="E1121" t="s">
        <v>251</v>
      </c>
      <c r="F1121" t="str">
        <f>"41.0303"</f>
        <v>41.0303</v>
      </c>
      <c r="G1121" s="8" t="s">
        <v>2361</v>
      </c>
    </row>
    <row r="1122" spans="1:7" ht="29" x14ac:dyDescent="0.35">
      <c r="A1122" t="str">
        <f>"41.0399"</f>
        <v>41.0399</v>
      </c>
      <c r="B1122" t="s">
        <v>2362</v>
      </c>
      <c r="C1122" s="8" t="s">
        <v>2363</v>
      </c>
      <c r="D1122" t="s">
        <v>250</v>
      </c>
      <c r="E1122" t="s">
        <v>251</v>
      </c>
      <c r="F1122" t="str">
        <f>"41.0399"</f>
        <v>41.0399</v>
      </c>
      <c r="G1122" s="8" t="s">
        <v>2363</v>
      </c>
    </row>
    <row r="1123" spans="1:7" x14ac:dyDescent="0.35">
      <c r="A1123" t="str">
        <f>"41.9999"</f>
        <v>41.9999</v>
      </c>
      <c r="B1123" t="s">
        <v>2364</v>
      </c>
      <c r="C1123" s="8" t="s">
        <v>2365</v>
      </c>
      <c r="D1123" t="s">
        <v>250</v>
      </c>
      <c r="E1123" t="s">
        <v>251</v>
      </c>
      <c r="F1123" t="str">
        <f>"41.9999"</f>
        <v>41.9999</v>
      </c>
      <c r="G1123" s="8" t="s">
        <v>2365</v>
      </c>
    </row>
    <row r="1124" spans="1:7" x14ac:dyDescent="0.35">
      <c r="A1124" t="str">
        <f>"42.0101"</f>
        <v>42.0101</v>
      </c>
      <c r="B1124" t="s">
        <v>2366</v>
      </c>
      <c r="C1124" s="8" t="s">
        <v>2367</v>
      </c>
      <c r="D1124" t="s">
        <v>250</v>
      </c>
      <c r="E1124" t="s">
        <v>251</v>
      </c>
      <c r="F1124" t="str">
        <f>"42.0101"</f>
        <v>42.0101</v>
      </c>
      <c r="G1124" s="8" t="s">
        <v>2367</v>
      </c>
    </row>
    <row r="1125" spans="1:7" ht="29" x14ac:dyDescent="0.35">
      <c r="A1125" t="str">
        <f>"42.2701"</f>
        <v>42.2701</v>
      </c>
      <c r="B1125" t="s">
        <v>2368</v>
      </c>
      <c r="C1125" s="8" t="s">
        <v>2369</v>
      </c>
      <c r="D1125" t="s">
        <v>250</v>
      </c>
      <c r="E1125" t="s">
        <v>251</v>
      </c>
      <c r="F1125" t="str">
        <f>"42.2701"</f>
        <v>42.2701</v>
      </c>
      <c r="G1125" s="8" t="s">
        <v>2369</v>
      </c>
    </row>
    <row r="1126" spans="1:7" x14ac:dyDescent="0.35">
      <c r="A1126" t="str">
        <f>"42.2702"</f>
        <v>42.2702</v>
      </c>
      <c r="B1126" t="s">
        <v>2370</v>
      </c>
      <c r="C1126" s="8" t="s">
        <v>2371</v>
      </c>
      <c r="D1126" t="s">
        <v>250</v>
      </c>
      <c r="E1126" t="s">
        <v>251</v>
      </c>
      <c r="F1126" t="str">
        <f>"42.2702"</f>
        <v>42.2702</v>
      </c>
      <c r="G1126" s="8" t="s">
        <v>2371</v>
      </c>
    </row>
    <row r="1127" spans="1:7" x14ac:dyDescent="0.35">
      <c r="A1127" t="str">
        <f>"42.2703"</f>
        <v>42.2703</v>
      </c>
      <c r="B1127" t="s">
        <v>2372</v>
      </c>
      <c r="C1127" s="8" t="s">
        <v>2373</v>
      </c>
      <c r="D1127" t="s">
        <v>250</v>
      </c>
      <c r="E1127" t="s">
        <v>264</v>
      </c>
      <c r="F1127" t="str">
        <f>"42.2703"</f>
        <v>42.2703</v>
      </c>
      <c r="G1127" s="8" t="s">
        <v>2373</v>
      </c>
    </row>
    <row r="1128" spans="1:7" x14ac:dyDescent="0.35">
      <c r="A1128" t="str">
        <f>"42.2704"</f>
        <v>42.2704</v>
      </c>
      <c r="B1128" t="s">
        <v>2374</v>
      </c>
      <c r="C1128" s="8" t="s">
        <v>2375</v>
      </c>
      <c r="D1128" t="s">
        <v>250</v>
      </c>
      <c r="E1128" t="s">
        <v>251</v>
      </c>
      <c r="F1128" t="str">
        <f>"42.2704"</f>
        <v>42.2704</v>
      </c>
      <c r="G1128" s="8" t="s">
        <v>2375</v>
      </c>
    </row>
    <row r="1129" spans="1:7" x14ac:dyDescent="0.35">
      <c r="A1129" t="str">
        <f>"42.2705"</f>
        <v>42.2705</v>
      </c>
      <c r="B1129" t="s">
        <v>2376</v>
      </c>
      <c r="C1129" s="8" t="s">
        <v>2377</v>
      </c>
      <c r="D1129" t="s">
        <v>250</v>
      </c>
      <c r="E1129" t="s">
        <v>251</v>
      </c>
      <c r="F1129" t="str">
        <f>"42.2705"</f>
        <v>42.2705</v>
      </c>
      <c r="G1129" s="8" t="s">
        <v>2377</v>
      </c>
    </row>
    <row r="1130" spans="1:7" x14ac:dyDescent="0.35">
      <c r="A1130" t="str">
        <f>"42.2706"</f>
        <v>42.2706</v>
      </c>
      <c r="B1130" t="s">
        <v>2378</v>
      </c>
      <c r="C1130" s="8" t="s">
        <v>2379</v>
      </c>
      <c r="D1130" t="s">
        <v>250</v>
      </c>
      <c r="E1130" t="s">
        <v>264</v>
      </c>
      <c r="F1130" t="str">
        <f>"42.2706"</f>
        <v>42.2706</v>
      </c>
      <c r="G1130" s="8" t="s">
        <v>2380</v>
      </c>
    </row>
    <row r="1131" spans="1:7" x14ac:dyDescent="0.35">
      <c r="A1131" t="str">
        <f>"42.2707"</f>
        <v>42.2707</v>
      </c>
      <c r="B1131" t="s">
        <v>2381</v>
      </c>
      <c r="C1131" s="8" t="s">
        <v>2382</v>
      </c>
      <c r="D1131" t="s">
        <v>250</v>
      </c>
      <c r="E1131" t="s">
        <v>251</v>
      </c>
      <c r="F1131" t="str">
        <f>"42.2707"</f>
        <v>42.2707</v>
      </c>
      <c r="G1131" s="8" t="s">
        <v>2382</v>
      </c>
    </row>
    <row r="1132" spans="1:7" ht="29" x14ac:dyDescent="0.35">
      <c r="A1132" t="str">
        <f>"42.2708"</f>
        <v>42.2708</v>
      </c>
      <c r="B1132" t="s">
        <v>2383</v>
      </c>
      <c r="C1132" s="8" t="s">
        <v>2384</v>
      </c>
      <c r="D1132" t="s">
        <v>250</v>
      </c>
      <c r="E1132" t="s">
        <v>251</v>
      </c>
      <c r="F1132" t="str">
        <f>"42.2708"</f>
        <v>42.2708</v>
      </c>
      <c r="G1132" s="8" t="s">
        <v>2384</v>
      </c>
    </row>
    <row r="1133" spans="1:7" x14ac:dyDescent="0.35">
      <c r="A1133" t="str">
        <f>"42.2709"</f>
        <v>42.2709</v>
      </c>
      <c r="B1133" t="s">
        <v>2385</v>
      </c>
      <c r="C1133" s="8" t="s">
        <v>2386</v>
      </c>
      <c r="D1133" t="s">
        <v>250</v>
      </c>
      <c r="E1133" t="s">
        <v>251</v>
      </c>
      <c r="F1133" t="str">
        <f>"42.2709"</f>
        <v>42.2709</v>
      </c>
      <c r="G1133" s="8" t="s">
        <v>2386</v>
      </c>
    </row>
    <row r="1134" spans="1:7" x14ac:dyDescent="0.35">
      <c r="D1134" t="s">
        <v>275</v>
      </c>
      <c r="E1134" t="s">
        <v>251</v>
      </c>
      <c r="F1134" t="str">
        <f>"42.2710"</f>
        <v>42.2710</v>
      </c>
      <c r="G1134" s="8" t="s">
        <v>2387</v>
      </c>
    </row>
    <row r="1135" spans="1:7" ht="29" x14ac:dyDescent="0.35">
      <c r="A1135" t="str">
        <f>"42.2799"</f>
        <v>42.2799</v>
      </c>
      <c r="B1135" t="s">
        <v>2388</v>
      </c>
      <c r="C1135" s="8" t="s">
        <v>2389</v>
      </c>
      <c r="D1135" t="s">
        <v>250</v>
      </c>
      <c r="E1135" t="s">
        <v>251</v>
      </c>
      <c r="F1135" t="str">
        <f>"42.2799"</f>
        <v>42.2799</v>
      </c>
      <c r="G1135" s="8" t="s">
        <v>2389</v>
      </c>
    </row>
    <row r="1136" spans="1:7" x14ac:dyDescent="0.35">
      <c r="A1136" t="str">
        <f>"42.2801"</f>
        <v>42.2801</v>
      </c>
      <c r="B1136" t="s">
        <v>2390</v>
      </c>
      <c r="C1136" s="8" t="s">
        <v>2391</v>
      </c>
      <c r="D1136" t="s">
        <v>250</v>
      </c>
      <c r="E1136" t="s">
        <v>251</v>
      </c>
      <c r="F1136" t="str">
        <f>"42.2801"</f>
        <v>42.2801</v>
      </c>
      <c r="G1136" s="8" t="s">
        <v>2391</v>
      </c>
    </row>
    <row r="1137" spans="1:7" x14ac:dyDescent="0.35">
      <c r="A1137" t="str">
        <f>"42.2802"</f>
        <v>42.2802</v>
      </c>
      <c r="B1137" t="s">
        <v>2392</v>
      </c>
      <c r="C1137" s="8" t="s">
        <v>2393</v>
      </c>
      <c r="D1137" t="s">
        <v>250</v>
      </c>
      <c r="E1137" t="s">
        <v>251</v>
      </c>
      <c r="F1137" t="str">
        <f>"42.2802"</f>
        <v>42.2802</v>
      </c>
      <c r="G1137" s="8" t="s">
        <v>2393</v>
      </c>
    </row>
    <row r="1138" spans="1:7" x14ac:dyDescent="0.35">
      <c r="A1138" t="str">
        <f>"42.2803"</f>
        <v>42.2803</v>
      </c>
      <c r="B1138" t="s">
        <v>2394</v>
      </c>
      <c r="C1138" s="8" t="s">
        <v>2395</v>
      </c>
      <c r="D1138" t="s">
        <v>250</v>
      </c>
      <c r="E1138" t="s">
        <v>251</v>
      </c>
      <c r="F1138" t="str">
        <f>"42.2803"</f>
        <v>42.2803</v>
      </c>
      <c r="G1138" s="8" t="s">
        <v>2395</v>
      </c>
    </row>
    <row r="1139" spans="1:7" x14ac:dyDescent="0.35">
      <c r="A1139" t="str">
        <f>"42.2804"</f>
        <v>42.2804</v>
      </c>
      <c r="B1139" t="s">
        <v>2396</v>
      </c>
      <c r="C1139" s="8" t="s">
        <v>2397</v>
      </c>
      <c r="D1139" t="s">
        <v>250</v>
      </c>
      <c r="E1139" t="s">
        <v>251</v>
      </c>
      <c r="F1139" t="str">
        <f>"42.2804"</f>
        <v>42.2804</v>
      </c>
      <c r="G1139" s="8" t="s">
        <v>2397</v>
      </c>
    </row>
    <row r="1140" spans="1:7" x14ac:dyDescent="0.35">
      <c r="A1140" t="str">
        <f>"42.2805"</f>
        <v>42.2805</v>
      </c>
      <c r="B1140" t="s">
        <v>2398</v>
      </c>
      <c r="C1140" s="8" t="s">
        <v>2399</v>
      </c>
      <c r="D1140" t="s">
        <v>250</v>
      </c>
      <c r="E1140" t="s">
        <v>251</v>
      </c>
      <c r="F1140" t="str">
        <f>"42.2805"</f>
        <v>42.2805</v>
      </c>
      <c r="G1140" s="8" t="s">
        <v>2399</v>
      </c>
    </row>
    <row r="1141" spans="1:7" x14ac:dyDescent="0.35">
      <c r="A1141" t="str">
        <f>"42.2806"</f>
        <v>42.2806</v>
      </c>
      <c r="B1141" t="s">
        <v>2400</v>
      </c>
      <c r="C1141" s="8" t="s">
        <v>2401</v>
      </c>
      <c r="D1141" t="s">
        <v>250</v>
      </c>
      <c r="E1141" t="s">
        <v>251</v>
      </c>
      <c r="F1141" t="str">
        <f>"42.2806"</f>
        <v>42.2806</v>
      </c>
      <c r="G1141" s="8" t="s">
        <v>2401</v>
      </c>
    </row>
    <row r="1142" spans="1:7" x14ac:dyDescent="0.35">
      <c r="A1142" t="str">
        <f>"42.2807"</f>
        <v>42.2807</v>
      </c>
      <c r="B1142" t="s">
        <v>2402</v>
      </c>
      <c r="C1142" s="8" t="s">
        <v>2403</v>
      </c>
      <c r="D1142" t="s">
        <v>250</v>
      </c>
      <c r="E1142" t="s">
        <v>251</v>
      </c>
      <c r="F1142" t="str">
        <f>"42.2807"</f>
        <v>42.2807</v>
      </c>
      <c r="G1142" s="8" t="s">
        <v>2403</v>
      </c>
    </row>
    <row r="1143" spans="1:7" x14ac:dyDescent="0.35">
      <c r="A1143" t="str">
        <f>"42.2808"</f>
        <v>42.2808</v>
      </c>
      <c r="B1143" t="s">
        <v>2404</v>
      </c>
      <c r="C1143" s="8" t="s">
        <v>2405</v>
      </c>
      <c r="D1143" t="s">
        <v>250</v>
      </c>
      <c r="E1143" t="s">
        <v>251</v>
      </c>
      <c r="F1143" t="str">
        <f>"42.2808"</f>
        <v>42.2808</v>
      </c>
      <c r="G1143" s="8" t="s">
        <v>2405</v>
      </c>
    </row>
    <row r="1144" spans="1:7" x14ac:dyDescent="0.35">
      <c r="A1144" t="str">
        <f>"42.2809"</f>
        <v>42.2809</v>
      </c>
      <c r="B1144" t="s">
        <v>2406</v>
      </c>
      <c r="C1144" s="8" t="s">
        <v>2407</v>
      </c>
      <c r="D1144" t="s">
        <v>250</v>
      </c>
      <c r="E1144" t="s">
        <v>251</v>
      </c>
      <c r="F1144" t="str">
        <f>"42.2809"</f>
        <v>42.2809</v>
      </c>
      <c r="G1144" s="8" t="s">
        <v>2407</v>
      </c>
    </row>
    <row r="1145" spans="1:7" x14ac:dyDescent="0.35">
      <c r="A1145" t="str">
        <f>"42.2810"</f>
        <v>42.2810</v>
      </c>
      <c r="B1145" t="s">
        <v>2408</v>
      </c>
      <c r="C1145" s="8" t="s">
        <v>2409</v>
      </c>
      <c r="D1145" t="s">
        <v>250</v>
      </c>
      <c r="E1145" t="s">
        <v>251</v>
      </c>
      <c r="F1145" t="str">
        <f>"42.2810"</f>
        <v>42.2810</v>
      </c>
      <c r="G1145" s="8" t="s">
        <v>2409</v>
      </c>
    </row>
    <row r="1146" spans="1:7" x14ac:dyDescent="0.35">
      <c r="A1146" t="str">
        <f>"42.2811"</f>
        <v>42.2811</v>
      </c>
      <c r="B1146" t="s">
        <v>2410</v>
      </c>
      <c r="C1146" s="8" t="s">
        <v>2411</v>
      </c>
      <c r="D1146" t="s">
        <v>250</v>
      </c>
      <c r="E1146" t="s">
        <v>251</v>
      </c>
      <c r="F1146" t="str">
        <f>"42.2811"</f>
        <v>42.2811</v>
      </c>
      <c r="G1146" s="8" t="s">
        <v>2411</v>
      </c>
    </row>
    <row r="1147" spans="1:7" x14ac:dyDescent="0.35">
      <c r="A1147" t="str">
        <f>"42.2812"</f>
        <v>42.2812</v>
      </c>
      <c r="B1147" t="s">
        <v>2412</v>
      </c>
      <c r="C1147" s="8" t="s">
        <v>2413</v>
      </c>
      <c r="D1147" t="s">
        <v>250</v>
      </c>
      <c r="E1147" t="s">
        <v>251</v>
      </c>
      <c r="F1147" t="str">
        <f>"42.2812"</f>
        <v>42.2812</v>
      </c>
      <c r="G1147" s="8" t="s">
        <v>2413</v>
      </c>
    </row>
    <row r="1148" spans="1:7" x14ac:dyDescent="0.35">
      <c r="A1148" t="str">
        <f>"42.2813"</f>
        <v>42.2813</v>
      </c>
      <c r="B1148" t="s">
        <v>2414</v>
      </c>
      <c r="C1148" s="8" t="s">
        <v>2415</v>
      </c>
      <c r="D1148" t="s">
        <v>250</v>
      </c>
      <c r="E1148" t="s">
        <v>251</v>
      </c>
      <c r="F1148" t="str">
        <f>"42.2813"</f>
        <v>42.2813</v>
      </c>
      <c r="G1148" s="8" t="s">
        <v>2415</v>
      </c>
    </row>
    <row r="1149" spans="1:7" x14ac:dyDescent="0.35">
      <c r="A1149" t="str">
        <f>"42.2814"</f>
        <v>42.2814</v>
      </c>
      <c r="B1149" t="s">
        <v>2416</v>
      </c>
      <c r="C1149" s="8" t="s">
        <v>2417</v>
      </c>
      <c r="D1149" t="s">
        <v>250</v>
      </c>
      <c r="E1149" t="s">
        <v>251</v>
      </c>
      <c r="F1149" t="str">
        <f>"42.2814"</f>
        <v>42.2814</v>
      </c>
      <c r="G1149" s="8" t="s">
        <v>2417</v>
      </c>
    </row>
    <row r="1150" spans="1:7" x14ac:dyDescent="0.35">
      <c r="D1150" t="s">
        <v>275</v>
      </c>
      <c r="E1150" t="s">
        <v>251</v>
      </c>
      <c r="F1150" t="str">
        <f>"42.2815"</f>
        <v>42.2815</v>
      </c>
      <c r="G1150" s="8" t="s">
        <v>2418</v>
      </c>
    </row>
    <row r="1151" spans="1:7" x14ac:dyDescent="0.35">
      <c r="D1151" t="s">
        <v>275</v>
      </c>
      <c r="E1151" t="s">
        <v>251</v>
      </c>
      <c r="F1151" t="str">
        <f>"42.2816"</f>
        <v>42.2816</v>
      </c>
      <c r="G1151" s="8" t="s">
        <v>2419</v>
      </c>
    </row>
    <row r="1152" spans="1:7" x14ac:dyDescent="0.35">
      <c r="D1152" t="s">
        <v>275</v>
      </c>
      <c r="E1152" t="s">
        <v>251</v>
      </c>
      <c r="F1152" t="str">
        <f>"42.2817"</f>
        <v>42.2817</v>
      </c>
      <c r="G1152" s="8" t="s">
        <v>2420</v>
      </c>
    </row>
    <row r="1153" spans="1:7" ht="29" x14ac:dyDescent="0.35">
      <c r="A1153" t="str">
        <f>"42.2899"</f>
        <v>42.2899</v>
      </c>
      <c r="B1153" t="s">
        <v>2421</v>
      </c>
      <c r="C1153" s="8" t="s">
        <v>2422</v>
      </c>
      <c r="D1153" t="s">
        <v>250</v>
      </c>
      <c r="E1153" t="s">
        <v>251</v>
      </c>
      <c r="F1153" t="str">
        <f>"42.2899"</f>
        <v>42.2899</v>
      </c>
      <c r="G1153" s="8" t="s">
        <v>2422</v>
      </c>
    </row>
    <row r="1154" spans="1:7" x14ac:dyDescent="0.35">
      <c r="A1154" t="str">
        <f>"42.9999"</f>
        <v>42.9999</v>
      </c>
      <c r="B1154" t="s">
        <v>2423</v>
      </c>
      <c r="C1154" s="8" t="s">
        <v>2424</v>
      </c>
      <c r="D1154" t="s">
        <v>250</v>
      </c>
      <c r="E1154" t="s">
        <v>251</v>
      </c>
      <c r="F1154" t="str">
        <f>"42.9999"</f>
        <v>42.9999</v>
      </c>
      <c r="G1154" s="8" t="s">
        <v>2424</v>
      </c>
    </row>
    <row r="1155" spans="1:7" x14ac:dyDescent="0.35">
      <c r="D1155" t="s">
        <v>275</v>
      </c>
      <c r="E1155" t="s">
        <v>251</v>
      </c>
      <c r="F1155" t="str">
        <f>"43.0100"</f>
        <v>43.0100</v>
      </c>
      <c r="G1155" s="8" t="s">
        <v>2425</v>
      </c>
    </row>
    <row r="1156" spans="1:7" x14ac:dyDescent="0.35">
      <c r="A1156" t="str">
        <f>"43.0102"</f>
        <v>43.0102</v>
      </c>
      <c r="B1156" t="s">
        <v>2426</v>
      </c>
      <c r="C1156" s="8" t="s">
        <v>2427</v>
      </c>
      <c r="D1156" t="s">
        <v>250</v>
      </c>
      <c r="E1156" t="s">
        <v>251</v>
      </c>
      <c r="F1156" t="str">
        <f>"43.0102"</f>
        <v>43.0102</v>
      </c>
      <c r="G1156" s="8" t="s">
        <v>2427</v>
      </c>
    </row>
    <row r="1157" spans="1:7" ht="29" x14ac:dyDescent="0.35">
      <c r="A1157" t="str">
        <f>"43.0103"</f>
        <v>43.0103</v>
      </c>
      <c r="B1157" t="s">
        <v>2428</v>
      </c>
      <c r="C1157" s="8" t="s">
        <v>2429</v>
      </c>
      <c r="D1157" t="s">
        <v>250</v>
      </c>
      <c r="E1157" t="s">
        <v>251</v>
      </c>
      <c r="F1157" t="str">
        <f>"43.0103"</f>
        <v>43.0103</v>
      </c>
      <c r="G1157" s="8" t="s">
        <v>2429</v>
      </c>
    </row>
    <row r="1158" spans="1:7" x14ac:dyDescent="0.35">
      <c r="A1158" t="str">
        <f>"43.0104"</f>
        <v>43.0104</v>
      </c>
      <c r="B1158" t="s">
        <v>2430</v>
      </c>
      <c r="C1158" s="8" t="s">
        <v>2431</v>
      </c>
      <c r="D1158" t="s">
        <v>250</v>
      </c>
      <c r="E1158" t="s">
        <v>251</v>
      </c>
      <c r="F1158" t="str">
        <f>"43.0104"</f>
        <v>43.0104</v>
      </c>
      <c r="G1158" s="8" t="s">
        <v>2431</v>
      </c>
    </row>
    <row r="1159" spans="1:7" x14ac:dyDescent="0.35">
      <c r="A1159" t="str">
        <f>"43.0106"</f>
        <v>43.0106</v>
      </c>
      <c r="B1159" t="s">
        <v>2432</v>
      </c>
      <c r="C1159" s="8" t="s">
        <v>2433</v>
      </c>
      <c r="D1159" t="s">
        <v>295</v>
      </c>
      <c r="E1159" t="s">
        <v>251</v>
      </c>
      <c r="F1159" t="str">
        <f>"43.0406"</f>
        <v>43.0406</v>
      </c>
      <c r="G1159" s="8" t="s">
        <v>2433</v>
      </c>
    </row>
    <row r="1160" spans="1:7" x14ac:dyDescent="0.35">
      <c r="A1160" t="str">
        <f>"43.0107"</f>
        <v>43.0107</v>
      </c>
      <c r="B1160" t="s">
        <v>2434</v>
      </c>
      <c r="C1160" s="8" t="s">
        <v>2435</v>
      </c>
      <c r="D1160" t="s">
        <v>250</v>
      </c>
      <c r="E1160" t="s">
        <v>251</v>
      </c>
      <c r="F1160" t="str">
        <f>"43.0107"</f>
        <v>43.0107</v>
      </c>
      <c r="G1160" s="8" t="s">
        <v>2435</v>
      </c>
    </row>
    <row r="1161" spans="1:7" x14ac:dyDescent="0.35">
      <c r="A1161" t="str">
        <f>"43.0109"</f>
        <v>43.0109</v>
      </c>
      <c r="B1161" t="s">
        <v>2436</v>
      </c>
      <c r="C1161" s="8" t="s">
        <v>2437</v>
      </c>
      <c r="D1161" t="s">
        <v>250</v>
      </c>
      <c r="E1161" t="s">
        <v>251</v>
      </c>
      <c r="F1161" t="str">
        <f>"43.0109"</f>
        <v>43.0109</v>
      </c>
      <c r="G1161" s="8" t="s">
        <v>2437</v>
      </c>
    </row>
    <row r="1162" spans="1:7" x14ac:dyDescent="0.35">
      <c r="A1162" t="str">
        <f>"43.0110"</f>
        <v>43.0110</v>
      </c>
      <c r="B1162" t="s">
        <v>2438</v>
      </c>
      <c r="C1162" s="8" t="s">
        <v>2439</v>
      </c>
      <c r="D1162" t="s">
        <v>250</v>
      </c>
      <c r="E1162" t="s">
        <v>251</v>
      </c>
      <c r="F1162" t="str">
        <f>"43.0110"</f>
        <v>43.0110</v>
      </c>
      <c r="G1162" s="8" t="s">
        <v>2439</v>
      </c>
    </row>
    <row r="1163" spans="1:7" x14ac:dyDescent="0.35">
      <c r="A1163" t="str">
        <f>"43.0111"</f>
        <v>43.0111</v>
      </c>
      <c r="B1163" t="s">
        <v>2440</v>
      </c>
      <c r="C1163" s="8" t="s">
        <v>2441</v>
      </c>
      <c r="D1163" t="s">
        <v>295</v>
      </c>
      <c r="E1163" t="s">
        <v>251</v>
      </c>
      <c r="F1163" t="str">
        <f>"43.0402"</f>
        <v>43.0402</v>
      </c>
      <c r="G1163" s="8" t="s">
        <v>2441</v>
      </c>
    </row>
    <row r="1164" spans="1:7" ht="29" x14ac:dyDescent="0.35">
      <c r="A1164" t="str">
        <f>"43.0112"</f>
        <v>43.0112</v>
      </c>
      <c r="B1164" t="s">
        <v>2442</v>
      </c>
      <c r="C1164" s="8" t="s">
        <v>2443</v>
      </c>
      <c r="D1164" t="s">
        <v>250</v>
      </c>
      <c r="E1164" t="s">
        <v>251</v>
      </c>
      <c r="F1164" t="str">
        <f>"43.0112"</f>
        <v>43.0112</v>
      </c>
      <c r="G1164" s="8" t="s">
        <v>2443</v>
      </c>
    </row>
    <row r="1165" spans="1:7" x14ac:dyDescent="0.35">
      <c r="A1165" t="str">
        <f>"43.0113"</f>
        <v>43.0113</v>
      </c>
      <c r="B1165" t="s">
        <v>2444</v>
      </c>
      <c r="C1165" s="8" t="s">
        <v>2445</v>
      </c>
      <c r="D1165" t="s">
        <v>250</v>
      </c>
      <c r="E1165" t="s">
        <v>251</v>
      </c>
      <c r="F1165" t="str">
        <f>"43.0113"</f>
        <v>43.0113</v>
      </c>
      <c r="G1165" s="8" t="s">
        <v>2445</v>
      </c>
    </row>
    <row r="1166" spans="1:7" ht="29" x14ac:dyDescent="0.35">
      <c r="A1166" t="str">
        <f>"43.0114"</f>
        <v>43.0114</v>
      </c>
      <c r="B1166" t="s">
        <v>2446</v>
      </c>
      <c r="C1166" s="8" t="s">
        <v>2447</v>
      </c>
      <c r="D1166" t="s">
        <v>250</v>
      </c>
      <c r="E1166" t="s">
        <v>251</v>
      </c>
      <c r="F1166" t="str">
        <f>"43.0114"</f>
        <v>43.0114</v>
      </c>
      <c r="G1166" s="8" t="s">
        <v>2447</v>
      </c>
    </row>
    <row r="1167" spans="1:7" ht="29" x14ac:dyDescent="0.35">
      <c r="A1167" t="str">
        <f>"43.0115"</f>
        <v>43.0115</v>
      </c>
      <c r="B1167" t="s">
        <v>2448</v>
      </c>
      <c r="C1167" s="8" t="s">
        <v>2449</v>
      </c>
      <c r="D1167" t="s">
        <v>250</v>
      </c>
      <c r="E1167" t="s">
        <v>251</v>
      </c>
      <c r="F1167" t="str">
        <f>"43.0115"</f>
        <v>43.0115</v>
      </c>
      <c r="G1167" s="8" t="s">
        <v>2449</v>
      </c>
    </row>
    <row r="1168" spans="1:7" ht="29" x14ac:dyDescent="0.35">
      <c r="A1168" t="str">
        <f>"43.0116"</f>
        <v>43.0116</v>
      </c>
      <c r="B1168" t="s">
        <v>2450</v>
      </c>
      <c r="C1168" s="8" t="s">
        <v>2451</v>
      </c>
      <c r="D1168" t="s">
        <v>295</v>
      </c>
      <c r="E1168" t="s">
        <v>251</v>
      </c>
      <c r="F1168" t="str">
        <f>"43.0403"</f>
        <v>43.0403</v>
      </c>
      <c r="G1168" s="8" t="s">
        <v>2451</v>
      </c>
    </row>
    <row r="1169" spans="1:7" ht="29" x14ac:dyDescent="0.35">
      <c r="A1169" t="str">
        <f>"43.0117"</f>
        <v>43.0117</v>
      </c>
      <c r="B1169" t="s">
        <v>2452</v>
      </c>
      <c r="C1169" s="8" t="s">
        <v>2453</v>
      </c>
      <c r="D1169" t="s">
        <v>295</v>
      </c>
      <c r="E1169" t="s">
        <v>251</v>
      </c>
      <c r="F1169" t="str">
        <f>"43.0405"</f>
        <v>43.0405</v>
      </c>
      <c r="G1169" s="8" t="s">
        <v>2453</v>
      </c>
    </row>
    <row r="1170" spans="1:7" x14ac:dyDescent="0.35">
      <c r="A1170" t="str">
        <f>"43.0118"</f>
        <v>43.0118</v>
      </c>
      <c r="B1170" t="s">
        <v>2454</v>
      </c>
      <c r="C1170" s="8" t="s">
        <v>2455</v>
      </c>
      <c r="D1170" t="s">
        <v>295</v>
      </c>
      <c r="E1170" t="s">
        <v>251</v>
      </c>
      <c r="F1170" t="str">
        <f>"43.0408"</f>
        <v>43.0408</v>
      </c>
      <c r="G1170" s="8" t="s">
        <v>2455</v>
      </c>
    </row>
    <row r="1171" spans="1:7" ht="29" x14ac:dyDescent="0.35">
      <c r="A1171" t="str">
        <f>"43.0119"</f>
        <v>43.0119</v>
      </c>
      <c r="B1171" t="s">
        <v>2456</v>
      </c>
      <c r="C1171" s="8" t="s">
        <v>2457</v>
      </c>
      <c r="D1171" t="s">
        <v>250</v>
      </c>
      <c r="E1171" t="s">
        <v>251</v>
      </c>
      <c r="F1171" t="str">
        <f>"43.0119"</f>
        <v>43.0119</v>
      </c>
      <c r="G1171" s="8" t="s">
        <v>2457</v>
      </c>
    </row>
    <row r="1172" spans="1:7" x14ac:dyDescent="0.35">
      <c r="A1172" t="str">
        <f>"43.0120"</f>
        <v>43.0120</v>
      </c>
      <c r="B1172" t="s">
        <v>2458</v>
      </c>
      <c r="C1172" s="8" t="s">
        <v>2459</v>
      </c>
      <c r="D1172" t="s">
        <v>250</v>
      </c>
      <c r="E1172" t="s">
        <v>251</v>
      </c>
      <c r="F1172" t="str">
        <f>"43.0120"</f>
        <v>43.0120</v>
      </c>
      <c r="G1172" s="8" t="s">
        <v>2459</v>
      </c>
    </row>
    <row r="1173" spans="1:7" x14ac:dyDescent="0.35">
      <c r="A1173" t="str">
        <f>"43.0121"</f>
        <v>43.0121</v>
      </c>
      <c r="B1173" t="s">
        <v>2460</v>
      </c>
      <c r="C1173" s="8" t="s">
        <v>2461</v>
      </c>
      <c r="D1173" t="s">
        <v>250</v>
      </c>
      <c r="E1173" t="s">
        <v>251</v>
      </c>
      <c r="F1173" t="str">
        <f>"43.0121"</f>
        <v>43.0121</v>
      </c>
      <c r="G1173" s="8" t="s">
        <v>2461</v>
      </c>
    </row>
    <row r="1174" spans="1:7" x14ac:dyDescent="0.35">
      <c r="A1174" t="str">
        <f>"43.0122"</f>
        <v>43.0122</v>
      </c>
      <c r="B1174" t="s">
        <v>2462</v>
      </c>
      <c r="C1174" s="8" t="s">
        <v>2463</v>
      </c>
      <c r="D1174" t="s">
        <v>250</v>
      </c>
      <c r="E1174" t="s">
        <v>251</v>
      </c>
      <c r="F1174" t="str">
        <f>"43.0122"</f>
        <v>43.0122</v>
      </c>
      <c r="G1174" s="8" t="s">
        <v>2463</v>
      </c>
    </row>
    <row r="1175" spans="1:7" ht="29" x14ac:dyDescent="0.35">
      <c r="A1175" t="str">
        <f>"43.0123"</f>
        <v>43.0123</v>
      </c>
      <c r="B1175" t="s">
        <v>2464</v>
      </c>
      <c r="C1175" s="8" t="s">
        <v>2465</v>
      </c>
      <c r="D1175" t="s">
        <v>250</v>
      </c>
      <c r="E1175" t="s">
        <v>251</v>
      </c>
      <c r="F1175" t="str">
        <f>"43.0123"</f>
        <v>43.0123</v>
      </c>
      <c r="G1175" s="8" t="s">
        <v>2465</v>
      </c>
    </row>
    <row r="1176" spans="1:7" x14ac:dyDescent="0.35">
      <c r="A1176" t="str">
        <f>"43.0199"</f>
        <v>43.0199</v>
      </c>
      <c r="B1176" t="s">
        <v>2466</v>
      </c>
      <c r="C1176" s="8" t="s">
        <v>2467</v>
      </c>
      <c r="D1176" t="s">
        <v>250</v>
      </c>
      <c r="E1176" t="s">
        <v>251</v>
      </c>
      <c r="F1176" t="str">
        <f>"43.0199"</f>
        <v>43.0199</v>
      </c>
      <c r="G1176" s="8" t="s">
        <v>2467</v>
      </c>
    </row>
    <row r="1177" spans="1:7" ht="29" x14ac:dyDescent="0.35">
      <c r="A1177" t="str">
        <f>"43.0201"</f>
        <v>43.0201</v>
      </c>
      <c r="B1177" t="s">
        <v>2468</v>
      </c>
      <c r="C1177" s="8" t="s">
        <v>2469</v>
      </c>
      <c r="D1177" t="s">
        <v>250</v>
      </c>
      <c r="E1177" t="s">
        <v>251</v>
      </c>
      <c r="F1177" t="str">
        <f>"43.0201"</f>
        <v>43.0201</v>
      </c>
      <c r="G1177" s="8" t="s">
        <v>2469</v>
      </c>
    </row>
    <row r="1178" spans="1:7" x14ac:dyDescent="0.35">
      <c r="A1178" t="str">
        <f>"43.0202"</f>
        <v>43.0202</v>
      </c>
      <c r="B1178" t="s">
        <v>2470</v>
      </c>
      <c r="C1178" s="8" t="s">
        <v>2471</v>
      </c>
      <c r="D1178" t="s">
        <v>250</v>
      </c>
      <c r="E1178" t="s">
        <v>251</v>
      </c>
      <c r="F1178" t="str">
        <f>"43.0202"</f>
        <v>43.0202</v>
      </c>
      <c r="G1178" s="8" t="s">
        <v>2471</v>
      </c>
    </row>
    <row r="1179" spans="1:7" x14ac:dyDescent="0.35">
      <c r="A1179" t="str">
        <f>"43.0203"</f>
        <v>43.0203</v>
      </c>
      <c r="B1179" t="s">
        <v>2472</v>
      </c>
      <c r="C1179" s="8" t="s">
        <v>2473</v>
      </c>
      <c r="D1179" t="s">
        <v>250</v>
      </c>
      <c r="E1179" t="s">
        <v>251</v>
      </c>
      <c r="F1179" t="str">
        <f>"43.0203"</f>
        <v>43.0203</v>
      </c>
      <c r="G1179" s="8" t="s">
        <v>2473</v>
      </c>
    </row>
    <row r="1180" spans="1:7" x14ac:dyDescent="0.35">
      <c r="A1180" t="str">
        <f>"43.0204"</f>
        <v>43.0204</v>
      </c>
      <c r="B1180" t="s">
        <v>2474</v>
      </c>
      <c r="C1180" s="8" t="s">
        <v>2475</v>
      </c>
      <c r="D1180" t="s">
        <v>250</v>
      </c>
      <c r="E1180" t="s">
        <v>251</v>
      </c>
      <c r="F1180" t="str">
        <f>"43.0204"</f>
        <v>43.0204</v>
      </c>
      <c r="G1180" s="8" t="s">
        <v>2475</v>
      </c>
    </row>
    <row r="1181" spans="1:7" x14ac:dyDescent="0.35">
      <c r="A1181" t="str">
        <f>"43.0205"</f>
        <v>43.0205</v>
      </c>
      <c r="B1181" t="s">
        <v>2476</v>
      </c>
      <c r="C1181" s="8" t="s">
        <v>2477</v>
      </c>
      <c r="D1181" t="s">
        <v>250</v>
      </c>
      <c r="E1181" t="s">
        <v>251</v>
      </c>
      <c r="F1181" t="str">
        <f>"43.0205"</f>
        <v>43.0205</v>
      </c>
      <c r="G1181" s="8" t="s">
        <v>2477</v>
      </c>
    </row>
    <row r="1182" spans="1:7" ht="29" x14ac:dyDescent="0.35">
      <c r="A1182" t="str">
        <f>"43.0206"</f>
        <v>43.0206</v>
      </c>
      <c r="B1182" t="s">
        <v>2478</v>
      </c>
      <c r="C1182" s="8" t="s">
        <v>2479</v>
      </c>
      <c r="D1182" t="s">
        <v>250</v>
      </c>
      <c r="E1182" t="s">
        <v>251</v>
      </c>
      <c r="F1182" t="str">
        <f>"43.0206"</f>
        <v>43.0206</v>
      </c>
      <c r="G1182" s="8" t="s">
        <v>2479</v>
      </c>
    </row>
    <row r="1183" spans="1:7" x14ac:dyDescent="0.35">
      <c r="A1183" t="str">
        <f>"43.0299"</f>
        <v>43.0299</v>
      </c>
      <c r="B1183" t="s">
        <v>2480</v>
      </c>
      <c r="C1183" s="8" t="s">
        <v>2481</v>
      </c>
      <c r="D1183" t="s">
        <v>250</v>
      </c>
      <c r="E1183" t="s">
        <v>251</v>
      </c>
      <c r="F1183" t="str">
        <f>"43.0299"</f>
        <v>43.0299</v>
      </c>
      <c r="G1183" s="8" t="s">
        <v>2481</v>
      </c>
    </row>
    <row r="1184" spans="1:7" x14ac:dyDescent="0.35">
      <c r="A1184" t="str">
        <f>"43.0301"</f>
        <v>43.0301</v>
      </c>
      <c r="B1184" t="s">
        <v>2482</v>
      </c>
      <c r="C1184" s="8" t="s">
        <v>2483</v>
      </c>
      <c r="D1184" t="s">
        <v>250</v>
      </c>
      <c r="E1184" t="s">
        <v>251</v>
      </c>
      <c r="F1184" t="str">
        <f>"43.0301"</f>
        <v>43.0301</v>
      </c>
      <c r="G1184" s="8" t="s">
        <v>2483</v>
      </c>
    </row>
    <row r="1185" spans="1:7" x14ac:dyDescent="0.35">
      <c r="A1185" t="str">
        <f>"43.0302"</f>
        <v>43.0302</v>
      </c>
      <c r="B1185" t="s">
        <v>2484</v>
      </c>
      <c r="C1185" s="8" t="s">
        <v>2485</v>
      </c>
      <c r="D1185" t="s">
        <v>250</v>
      </c>
      <c r="E1185" t="s">
        <v>251</v>
      </c>
      <c r="F1185" t="str">
        <f>"43.0302"</f>
        <v>43.0302</v>
      </c>
      <c r="G1185" s="8" t="s">
        <v>2485</v>
      </c>
    </row>
    <row r="1186" spans="1:7" x14ac:dyDescent="0.35">
      <c r="A1186" t="str">
        <f>"43.0303"</f>
        <v>43.0303</v>
      </c>
      <c r="B1186" t="s">
        <v>2486</v>
      </c>
      <c r="C1186" s="8" t="s">
        <v>2487</v>
      </c>
      <c r="D1186" t="s">
        <v>250</v>
      </c>
      <c r="E1186" t="s">
        <v>251</v>
      </c>
      <c r="F1186" t="str">
        <f>"43.0303"</f>
        <v>43.0303</v>
      </c>
      <c r="G1186" s="8" t="s">
        <v>2487</v>
      </c>
    </row>
    <row r="1187" spans="1:7" ht="29" x14ac:dyDescent="0.35">
      <c r="A1187" t="str">
        <f>"43.0304"</f>
        <v>43.0304</v>
      </c>
      <c r="B1187" t="s">
        <v>2488</v>
      </c>
      <c r="C1187" s="8" t="s">
        <v>2489</v>
      </c>
      <c r="D1187" t="s">
        <v>250</v>
      </c>
      <c r="E1187" t="s">
        <v>251</v>
      </c>
      <c r="F1187" t="str">
        <f>"43.0304"</f>
        <v>43.0304</v>
      </c>
      <c r="G1187" s="8" t="s">
        <v>2489</v>
      </c>
    </row>
    <row r="1188" spans="1:7" x14ac:dyDescent="0.35">
      <c r="A1188" t="str">
        <f>"43.0399"</f>
        <v>43.0399</v>
      </c>
      <c r="B1188" t="s">
        <v>2490</v>
      </c>
      <c r="C1188" s="8" t="s">
        <v>2491</v>
      </c>
      <c r="D1188" t="s">
        <v>250</v>
      </c>
      <c r="E1188" t="s">
        <v>251</v>
      </c>
      <c r="F1188" t="str">
        <f>"43.0399"</f>
        <v>43.0399</v>
      </c>
      <c r="G1188" s="8" t="s">
        <v>2491</v>
      </c>
    </row>
    <row r="1189" spans="1:7" x14ac:dyDescent="0.35">
      <c r="D1189" t="s">
        <v>275</v>
      </c>
      <c r="E1189" t="s">
        <v>251</v>
      </c>
      <c r="F1189" t="str">
        <f>"43.0401"</f>
        <v>43.0401</v>
      </c>
      <c r="G1189" s="8" t="s">
        <v>2492</v>
      </c>
    </row>
    <row r="1190" spans="1:7" x14ac:dyDescent="0.35">
      <c r="D1190" t="s">
        <v>275</v>
      </c>
      <c r="E1190" t="s">
        <v>251</v>
      </c>
      <c r="F1190" t="str">
        <f>"43.0404"</f>
        <v>43.0404</v>
      </c>
      <c r="G1190" s="8" t="s">
        <v>2493</v>
      </c>
    </row>
    <row r="1191" spans="1:7" x14ac:dyDescent="0.35">
      <c r="D1191" t="s">
        <v>275</v>
      </c>
      <c r="E1191" t="s">
        <v>251</v>
      </c>
      <c r="F1191" t="str">
        <f>"43.0407"</f>
        <v>43.0407</v>
      </c>
      <c r="G1191" s="8" t="s">
        <v>2494</v>
      </c>
    </row>
    <row r="1192" spans="1:7" x14ac:dyDescent="0.35">
      <c r="D1192" t="s">
        <v>275</v>
      </c>
      <c r="E1192" t="s">
        <v>251</v>
      </c>
      <c r="F1192" t="str">
        <f>"43.0499"</f>
        <v>43.0499</v>
      </c>
      <c r="G1192" s="8" t="s">
        <v>2495</v>
      </c>
    </row>
    <row r="1193" spans="1:7" ht="43.5" x14ac:dyDescent="0.35">
      <c r="A1193" t="str">
        <f>"43.9999"</f>
        <v>43.9999</v>
      </c>
      <c r="B1193" t="s">
        <v>2496</v>
      </c>
      <c r="C1193" s="8" t="s">
        <v>2497</v>
      </c>
      <c r="D1193" t="s">
        <v>250</v>
      </c>
      <c r="E1193" t="s">
        <v>251</v>
      </c>
      <c r="F1193" t="str">
        <f>"43.9999"</f>
        <v>43.9999</v>
      </c>
      <c r="G1193" s="8" t="s">
        <v>2497</v>
      </c>
    </row>
    <row r="1194" spans="1:7" x14ac:dyDescent="0.35">
      <c r="A1194" t="str">
        <f>"44.0000"</f>
        <v>44.0000</v>
      </c>
      <c r="B1194" t="s">
        <v>2498</v>
      </c>
      <c r="C1194" s="8" t="s">
        <v>2499</v>
      </c>
      <c r="D1194" t="s">
        <v>250</v>
      </c>
      <c r="E1194" t="s">
        <v>251</v>
      </c>
      <c r="F1194" t="str">
        <f>"44.0000"</f>
        <v>44.0000</v>
      </c>
      <c r="G1194" s="8" t="s">
        <v>2499</v>
      </c>
    </row>
    <row r="1195" spans="1:7" x14ac:dyDescent="0.35">
      <c r="A1195" t="str">
        <f>"44.0201"</f>
        <v>44.0201</v>
      </c>
      <c r="B1195" t="s">
        <v>2500</v>
      </c>
      <c r="C1195" s="8" t="s">
        <v>2501</v>
      </c>
      <c r="D1195" t="s">
        <v>250</v>
      </c>
      <c r="E1195" t="s">
        <v>264</v>
      </c>
      <c r="F1195" t="str">
        <f>"44.0201"</f>
        <v>44.0201</v>
      </c>
      <c r="G1195" s="8" t="s">
        <v>2501</v>
      </c>
    </row>
    <row r="1196" spans="1:7" x14ac:dyDescent="0.35">
      <c r="A1196" t="str">
        <f>"44.0401"</f>
        <v>44.0401</v>
      </c>
      <c r="B1196" t="s">
        <v>2502</v>
      </c>
      <c r="C1196" s="8" t="s">
        <v>2503</v>
      </c>
      <c r="D1196" t="s">
        <v>250</v>
      </c>
      <c r="E1196" t="s">
        <v>251</v>
      </c>
      <c r="F1196" t="str">
        <f>"44.0401"</f>
        <v>44.0401</v>
      </c>
      <c r="G1196" s="8" t="s">
        <v>2503</v>
      </c>
    </row>
    <row r="1197" spans="1:7" x14ac:dyDescent="0.35">
      <c r="D1197" t="s">
        <v>275</v>
      </c>
      <c r="E1197" t="s">
        <v>251</v>
      </c>
      <c r="F1197" t="str">
        <f>"44.0402"</f>
        <v>44.0402</v>
      </c>
      <c r="G1197" s="8" t="s">
        <v>2504</v>
      </c>
    </row>
    <row r="1198" spans="1:7" ht="29" x14ac:dyDescent="0.35">
      <c r="D1198" t="s">
        <v>275</v>
      </c>
      <c r="E1198" t="s">
        <v>251</v>
      </c>
      <c r="F1198" t="str">
        <f>"44.0403"</f>
        <v>44.0403</v>
      </c>
      <c r="G1198" s="8" t="s">
        <v>2505</v>
      </c>
    </row>
    <row r="1199" spans="1:7" x14ac:dyDescent="0.35">
      <c r="D1199" t="s">
        <v>275</v>
      </c>
      <c r="E1199" t="s">
        <v>251</v>
      </c>
      <c r="F1199" t="str">
        <f>"44.0499"</f>
        <v>44.0499</v>
      </c>
      <c r="G1199" s="8" t="s">
        <v>2506</v>
      </c>
    </row>
    <row r="1200" spans="1:7" x14ac:dyDescent="0.35">
      <c r="A1200" t="str">
        <f>"44.0501"</f>
        <v>44.0501</v>
      </c>
      <c r="B1200" t="s">
        <v>2507</v>
      </c>
      <c r="C1200" s="8" t="s">
        <v>2508</v>
      </c>
      <c r="D1200" t="s">
        <v>250</v>
      </c>
      <c r="E1200" t="s">
        <v>251</v>
      </c>
      <c r="F1200" t="str">
        <f>"44.0501"</f>
        <v>44.0501</v>
      </c>
      <c r="G1200" s="8" t="s">
        <v>2508</v>
      </c>
    </row>
    <row r="1201" spans="1:7" x14ac:dyDescent="0.35">
      <c r="A1201" t="str">
        <f>"44.0502"</f>
        <v>44.0502</v>
      </c>
      <c r="B1201" t="s">
        <v>2509</v>
      </c>
      <c r="C1201" s="8" t="s">
        <v>2510</v>
      </c>
      <c r="D1201" t="s">
        <v>250</v>
      </c>
      <c r="E1201" t="s">
        <v>251</v>
      </c>
      <c r="F1201" t="str">
        <f>"44.0502"</f>
        <v>44.0502</v>
      </c>
      <c r="G1201" s="8" t="s">
        <v>2510</v>
      </c>
    </row>
    <row r="1202" spans="1:7" x14ac:dyDescent="0.35">
      <c r="A1202" t="str">
        <f>"44.0503"</f>
        <v>44.0503</v>
      </c>
      <c r="B1202" t="s">
        <v>2511</v>
      </c>
      <c r="C1202" s="8" t="s">
        <v>2512</v>
      </c>
      <c r="D1202" t="s">
        <v>250</v>
      </c>
      <c r="E1202" t="s">
        <v>251</v>
      </c>
      <c r="F1202" t="str">
        <f>"44.0503"</f>
        <v>44.0503</v>
      </c>
      <c r="G1202" s="8" t="s">
        <v>2512</v>
      </c>
    </row>
    <row r="1203" spans="1:7" x14ac:dyDescent="0.35">
      <c r="A1203" t="str">
        <f>"44.0504"</f>
        <v>44.0504</v>
      </c>
      <c r="B1203" t="s">
        <v>2513</v>
      </c>
      <c r="C1203" s="8" t="s">
        <v>2514</v>
      </c>
      <c r="D1203" t="s">
        <v>250</v>
      </c>
      <c r="E1203" t="s">
        <v>251</v>
      </c>
      <c r="F1203" t="str">
        <f>"44.0504"</f>
        <v>44.0504</v>
      </c>
      <c r="G1203" s="8" t="s">
        <v>2514</v>
      </c>
    </row>
    <row r="1204" spans="1:7" x14ac:dyDescent="0.35">
      <c r="D1204" t="s">
        <v>275</v>
      </c>
      <c r="E1204" t="s">
        <v>251</v>
      </c>
      <c r="F1204" t="str">
        <f>"44.0580"</f>
        <v>44.0580</v>
      </c>
      <c r="G1204" s="8" t="s">
        <v>301</v>
      </c>
    </row>
    <row r="1205" spans="1:7" x14ac:dyDescent="0.35">
      <c r="A1205" t="str">
        <f>"44.0599"</f>
        <v>44.0599</v>
      </c>
      <c r="B1205" t="s">
        <v>2515</v>
      </c>
      <c r="C1205" s="8" t="s">
        <v>2516</v>
      </c>
      <c r="D1205" t="s">
        <v>250</v>
      </c>
      <c r="E1205" t="s">
        <v>251</v>
      </c>
      <c r="F1205" t="str">
        <f>"44.0599"</f>
        <v>44.0599</v>
      </c>
      <c r="G1205" s="8" t="s">
        <v>2516</v>
      </c>
    </row>
    <row r="1206" spans="1:7" x14ac:dyDescent="0.35">
      <c r="A1206" t="str">
        <f>"44.0701"</f>
        <v>44.0701</v>
      </c>
      <c r="B1206" t="s">
        <v>2517</v>
      </c>
      <c r="C1206" s="8" t="s">
        <v>2518</v>
      </c>
      <c r="D1206" t="s">
        <v>250</v>
      </c>
      <c r="E1206" t="s">
        <v>251</v>
      </c>
      <c r="F1206" t="str">
        <f>"44.0701"</f>
        <v>44.0701</v>
      </c>
      <c r="G1206" s="8" t="s">
        <v>2518</v>
      </c>
    </row>
    <row r="1207" spans="1:7" x14ac:dyDescent="0.35">
      <c r="A1207" t="str">
        <f>"44.0702"</f>
        <v>44.0702</v>
      </c>
      <c r="B1207" t="s">
        <v>2519</v>
      </c>
      <c r="C1207" s="8" t="s">
        <v>2520</v>
      </c>
      <c r="D1207" t="s">
        <v>250</v>
      </c>
      <c r="E1207" t="s">
        <v>251</v>
      </c>
      <c r="F1207" t="str">
        <f>"44.0702"</f>
        <v>44.0702</v>
      </c>
      <c r="G1207" s="8" t="s">
        <v>2520</v>
      </c>
    </row>
    <row r="1208" spans="1:7" x14ac:dyDescent="0.35">
      <c r="D1208" t="s">
        <v>275</v>
      </c>
      <c r="E1208" t="s">
        <v>251</v>
      </c>
      <c r="F1208" t="str">
        <f>"44.0703"</f>
        <v>44.0703</v>
      </c>
      <c r="G1208" s="8" t="s">
        <v>2521</v>
      </c>
    </row>
    <row r="1209" spans="1:7" x14ac:dyDescent="0.35">
      <c r="A1209" t="str">
        <f>"44.0799"</f>
        <v>44.0799</v>
      </c>
      <c r="B1209" t="s">
        <v>2522</v>
      </c>
      <c r="C1209" s="8" t="s">
        <v>2523</v>
      </c>
      <c r="D1209" t="s">
        <v>250</v>
      </c>
      <c r="E1209" t="s">
        <v>251</v>
      </c>
      <c r="F1209" t="str">
        <f>"44.0799"</f>
        <v>44.0799</v>
      </c>
      <c r="G1209" s="8" t="s">
        <v>2523</v>
      </c>
    </row>
    <row r="1210" spans="1:7" ht="29" x14ac:dyDescent="0.35">
      <c r="A1210" t="str">
        <f>"44.9999"</f>
        <v>44.9999</v>
      </c>
      <c r="B1210" t="s">
        <v>2524</v>
      </c>
      <c r="C1210" s="8" t="s">
        <v>2525</v>
      </c>
      <c r="D1210" t="s">
        <v>250</v>
      </c>
      <c r="E1210" t="s">
        <v>251</v>
      </c>
      <c r="F1210" t="str">
        <f>"44.9999"</f>
        <v>44.9999</v>
      </c>
      <c r="G1210" s="8" t="s">
        <v>2525</v>
      </c>
    </row>
    <row r="1211" spans="1:7" x14ac:dyDescent="0.35">
      <c r="A1211" t="str">
        <f>"45.0101"</f>
        <v>45.0101</v>
      </c>
      <c r="B1211" t="s">
        <v>2526</v>
      </c>
      <c r="C1211" s="8" t="s">
        <v>2527</v>
      </c>
      <c r="D1211" t="s">
        <v>250</v>
      </c>
      <c r="E1211" t="s">
        <v>251</v>
      </c>
      <c r="F1211" t="str">
        <f>"45.0101"</f>
        <v>45.0101</v>
      </c>
      <c r="G1211" s="8" t="s">
        <v>2527</v>
      </c>
    </row>
    <row r="1212" spans="1:7" ht="29" x14ac:dyDescent="0.35">
      <c r="A1212" t="str">
        <f>"45.0102"</f>
        <v>45.0102</v>
      </c>
      <c r="B1212" t="s">
        <v>2528</v>
      </c>
      <c r="C1212" s="8" t="s">
        <v>2529</v>
      </c>
      <c r="D1212" t="s">
        <v>250</v>
      </c>
      <c r="E1212" t="s">
        <v>251</v>
      </c>
      <c r="F1212" t="str">
        <f>"45.0102"</f>
        <v>45.0102</v>
      </c>
      <c r="G1212" s="8" t="s">
        <v>2529</v>
      </c>
    </row>
    <row r="1213" spans="1:7" x14ac:dyDescent="0.35">
      <c r="D1213" t="s">
        <v>275</v>
      </c>
      <c r="E1213" t="s">
        <v>251</v>
      </c>
      <c r="F1213" t="str">
        <f>"45.0103"</f>
        <v>45.0103</v>
      </c>
      <c r="G1213" s="8" t="s">
        <v>2530</v>
      </c>
    </row>
    <row r="1214" spans="1:7" x14ac:dyDescent="0.35">
      <c r="D1214" t="s">
        <v>275</v>
      </c>
      <c r="E1214" t="s">
        <v>251</v>
      </c>
      <c r="F1214" t="str">
        <f>"45.0199"</f>
        <v>45.0199</v>
      </c>
      <c r="G1214" s="8" t="s">
        <v>2531</v>
      </c>
    </row>
    <row r="1215" spans="1:7" x14ac:dyDescent="0.35">
      <c r="A1215" t="str">
        <f>"45.0201"</f>
        <v>45.0201</v>
      </c>
      <c r="B1215" t="s">
        <v>2532</v>
      </c>
      <c r="C1215" s="8" t="s">
        <v>2533</v>
      </c>
      <c r="D1215" t="s">
        <v>250</v>
      </c>
      <c r="E1215" t="s">
        <v>264</v>
      </c>
      <c r="F1215" t="str">
        <f>"45.0201"</f>
        <v>45.0201</v>
      </c>
      <c r="G1215" s="8" t="s">
        <v>2534</v>
      </c>
    </row>
    <row r="1216" spans="1:7" x14ac:dyDescent="0.35">
      <c r="A1216" t="str">
        <f>"45.0202"</f>
        <v>45.0202</v>
      </c>
      <c r="B1216" t="s">
        <v>2535</v>
      </c>
      <c r="C1216" s="8" t="s">
        <v>2536</v>
      </c>
      <c r="D1216" t="s">
        <v>250</v>
      </c>
      <c r="E1216" t="s">
        <v>251</v>
      </c>
      <c r="F1216" t="str">
        <f>"45.0202"</f>
        <v>45.0202</v>
      </c>
      <c r="G1216" s="8" t="s">
        <v>2536</v>
      </c>
    </row>
    <row r="1217" spans="1:7" x14ac:dyDescent="0.35">
      <c r="A1217" t="str">
        <f>"45.0203"</f>
        <v>45.0203</v>
      </c>
      <c r="B1217" t="s">
        <v>2537</v>
      </c>
      <c r="C1217" s="8" t="s">
        <v>2538</v>
      </c>
      <c r="D1217" t="s">
        <v>250</v>
      </c>
      <c r="E1217" t="s">
        <v>251</v>
      </c>
      <c r="F1217" t="str">
        <f>"45.0203"</f>
        <v>45.0203</v>
      </c>
      <c r="G1217" s="8" t="s">
        <v>2538</v>
      </c>
    </row>
    <row r="1218" spans="1:7" x14ac:dyDescent="0.35">
      <c r="A1218" t="str">
        <f>"45.0204"</f>
        <v>45.0204</v>
      </c>
      <c r="B1218" t="s">
        <v>2539</v>
      </c>
      <c r="C1218" s="8" t="s">
        <v>2540</v>
      </c>
      <c r="D1218" t="s">
        <v>250</v>
      </c>
      <c r="E1218" t="s">
        <v>251</v>
      </c>
      <c r="F1218" t="str">
        <f>"45.0204"</f>
        <v>45.0204</v>
      </c>
      <c r="G1218" s="8" t="s">
        <v>2540</v>
      </c>
    </row>
    <row r="1219" spans="1:7" x14ac:dyDescent="0.35">
      <c r="D1219" t="s">
        <v>275</v>
      </c>
      <c r="E1219" t="s">
        <v>251</v>
      </c>
      <c r="F1219" t="str">
        <f>"45.0205"</f>
        <v>45.0205</v>
      </c>
      <c r="G1219" s="8" t="s">
        <v>2541</v>
      </c>
    </row>
    <row r="1220" spans="1:7" x14ac:dyDescent="0.35">
      <c r="A1220" t="str">
        <f>"45.0299"</f>
        <v>45.0299</v>
      </c>
      <c r="B1220" t="s">
        <v>2542</v>
      </c>
      <c r="C1220" s="8" t="s">
        <v>2543</v>
      </c>
      <c r="D1220" t="s">
        <v>250</v>
      </c>
      <c r="E1220" t="s">
        <v>251</v>
      </c>
      <c r="F1220" t="str">
        <f>"45.0299"</f>
        <v>45.0299</v>
      </c>
      <c r="G1220" s="8" t="s">
        <v>2543</v>
      </c>
    </row>
    <row r="1221" spans="1:7" x14ac:dyDescent="0.35">
      <c r="A1221" t="str">
        <f>"45.0301"</f>
        <v>45.0301</v>
      </c>
      <c r="B1221" t="s">
        <v>2544</v>
      </c>
      <c r="C1221" s="8" t="s">
        <v>2545</v>
      </c>
      <c r="D1221" t="s">
        <v>250</v>
      </c>
      <c r="E1221" t="s">
        <v>251</v>
      </c>
      <c r="F1221" t="str">
        <f>"45.0301"</f>
        <v>45.0301</v>
      </c>
      <c r="G1221" s="8" t="s">
        <v>2545</v>
      </c>
    </row>
    <row r="1222" spans="1:7" x14ac:dyDescent="0.35">
      <c r="A1222" t="str">
        <f>"45.0401"</f>
        <v>45.0401</v>
      </c>
      <c r="B1222" t="s">
        <v>2546</v>
      </c>
      <c r="C1222" s="8" t="s">
        <v>2547</v>
      </c>
      <c r="D1222" t="s">
        <v>250</v>
      </c>
      <c r="E1222" t="s">
        <v>251</v>
      </c>
      <c r="F1222" t="str">
        <f>"45.0401"</f>
        <v>45.0401</v>
      </c>
      <c r="G1222" s="8" t="s">
        <v>2547</v>
      </c>
    </row>
    <row r="1223" spans="1:7" x14ac:dyDescent="0.35">
      <c r="A1223" t="str">
        <f>"45.0501"</f>
        <v>45.0501</v>
      </c>
      <c r="B1223" t="s">
        <v>2548</v>
      </c>
      <c r="C1223" s="8" t="s">
        <v>2549</v>
      </c>
      <c r="D1223" t="s">
        <v>250</v>
      </c>
      <c r="E1223" t="s">
        <v>251</v>
      </c>
      <c r="F1223" t="str">
        <f>"45.0501"</f>
        <v>45.0501</v>
      </c>
      <c r="G1223" s="8" t="s">
        <v>2549</v>
      </c>
    </row>
    <row r="1224" spans="1:7" x14ac:dyDescent="0.35">
      <c r="D1224" t="s">
        <v>275</v>
      </c>
      <c r="E1224" t="s">
        <v>251</v>
      </c>
      <c r="F1224" t="str">
        <f>"45.0502"</f>
        <v>45.0502</v>
      </c>
      <c r="G1224" s="8" t="s">
        <v>2550</v>
      </c>
    </row>
    <row r="1225" spans="1:7" x14ac:dyDescent="0.35">
      <c r="D1225" t="s">
        <v>275</v>
      </c>
      <c r="E1225" t="s">
        <v>251</v>
      </c>
      <c r="F1225" t="str">
        <f>"45.0599"</f>
        <v>45.0599</v>
      </c>
      <c r="G1225" s="8" t="s">
        <v>2551</v>
      </c>
    </row>
    <row r="1226" spans="1:7" x14ac:dyDescent="0.35">
      <c r="A1226" t="str">
        <f>"45.0601"</f>
        <v>45.0601</v>
      </c>
      <c r="B1226" t="s">
        <v>2552</v>
      </c>
      <c r="C1226" s="8" t="s">
        <v>2553</v>
      </c>
      <c r="D1226" t="s">
        <v>250</v>
      </c>
      <c r="E1226" t="s">
        <v>251</v>
      </c>
      <c r="F1226" t="str">
        <f>"45.0601"</f>
        <v>45.0601</v>
      </c>
      <c r="G1226" s="8" t="s">
        <v>2553</v>
      </c>
    </row>
    <row r="1227" spans="1:7" x14ac:dyDescent="0.35">
      <c r="A1227" t="str">
        <f>"45.0602"</f>
        <v>45.0602</v>
      </c>
      <c r="B1227" t="s">
        <v>2554</v>
      </c>
      <c r="C1227" s="8" t="s">
        <v>2555</v>
      </c>
      <c r="D1227" t="s">
        <v>250</v>
      </c>
      <c r="E1227" t="s">
        <v>251</v>
      </c>
      <c r="F1227" t="str">
        <f>"45.0602"</f>
        <v>45.0602</v>
      </c>
      <c r="G1227" s="8" t="s">
        <v>2555</v>
      </c>
    </row>
    <row r="1228" spans="1:7" x14ac:dyDescent="0.35">
      <c r="A1228" t="str">
        <f>"45.0603"</f>
        <v>45.0603</v>
      </c>
      <c r="B1228" t="s">
        <v>2556</v>
      </c>
      <c r="C1228" s="8" t="s">
        <v>2557</v>
      </c>
      <c r="D1228" t="s">
        <v>250</v>
      </c>
      <c r="E1228" t="s">
        <v>251</v>
      </c>
      <c r="F1228" t="str">
        <f>"45.0603"</f>
        <v>45.0603</v>
      </c>
      <c r="G1228" s="8" t="s">
        <v>2557</v>
      </c>
    </row>
    <row r="1229" spans="1:7" ht="29" x14ac:dyDescent="0.35">
      <c r="A1229" t="str">
        <f>"45.0604"</f>
        <v>45.0604</v>
      </c>
      <c r="B1229" t="s">
        <v>2558</v>
      </c>
      <c r="C1229" s="8" t="s">
        <v>2559</v>
      </c>
      <c r="D1229" t="s">
        <v>250</v>
      </c>
      <c r="E1229" t="s">
        <v>251</v>
      </c>
      <c r="F1229" t="str">
        <f>"45.0604"</f>
        <v>45.0604</v>
      </c>
      <c r="G1229" s="8" t="s">
        <v>2559</v>
      </c>
    </row>
    <row r="1230" spans="1:7" x14ac:dyDescent="0.35">
      <c r="A1230" t="str">
        <f>"45.0605"</f>
        <v>45.0605</v>
      </c>
      <c r="B1230" t="s">
        <v>2560</v>
      </c>
      <c r="C1230" s="8" t="s">
        <v>2561</v>
      </c>
      <c r="D1230" t="s">
        <v>250</v>
      </c>
      <c r="E1230" t="s">
        <v>251</v>
      </c>
      <c r="F1230" t="str">
        <f>"45.0605"</f>
        <v>45.0605</v>
      </c>
      <c r="G1230" s="8" t="s">
        <v>2561</v>
      </c>
    </row>
    <row r="1231" spans="1:7" x14ac:dyDescent="0.35">
      <c r="A1231" t="str">
        <f>"45.0699"</f>
        <v>45.0699</v>
      </c>
      <c r="B1231" t="s">
        <v>2562</v>
      </c>
      <c r="C1231" s="8" t="s">
        <v>2563</v>
      </c>
      <c r="D1231" t="s">
        <v>250</v>
      </c>
      <c r="E1231" t="s">
        <v>251</v>
      </c>
      <c r="F1231" t="str">
        <f>"45.0699"</f>
        <v>45.0699</v>
      </c>
      <c r="G1231" s="8" t="s">
        <v>2563</v>
      </c>
    </row>
    <row r="1232" spans="1:7" x14ac:dyDescent="0.35">
      <c r="A1232" t="str">
        <f>"45.0701"</f>
        <v>45.0701</v>
      </c>
      <c r="B1232" t="s">
        <v>2564</v>
      </c>
      <c r="C1232" s="8" t="s">
        <v>2565</v>
      </c>
      <c r="D1232" t="s">
        <v>250</v>
      </c>
      <c r="E1232" t="s">
        <v>251</v>
      </c>
      <c r="F1232" t="str">
        <f>"45.0701"</f>
        <v>45.0701</v>
      </c>
      <c r="G1232" s="8" t="s">
        <v>2565</v>
      </c>
    </row>
    <row r="1233" spans="1:7" ht="29" x14ac:dyDescent="0.35">
      <c r="A1233" t="str">
        <f>"45.0702"</f>
        <v>45.0702</v>
      </c>
      <c r="B1233" t="s">
        <v>2566</v>
      </c>
      <c r="C1233" s="8" t="s">
        <v>2567</v>
      </c>
      <c r="D1233" t="s">
        <v>250</v>
      </c>
      <c r="E1233" t="s">
        <v>251</v>
      </c>
      <c r="F1233" t="str">
        <f>"45.0702"</f>
        <v>45.0702</v>
      </c>
      <c r="G1233" s="8" t="s">
        <v>2567</v>
      </c>
    </row>
    <row r="1234" spans="1:7" x14ac:dyDescent="0.35">
      <c r="A1234" t="str">
        <f>"45.0799"</f>
        <v>45.0799</v>
      </c>
      <c r="B1234" t="s">
        <v>2568</v>
      </c>
      <c r="C1234" s="8" t="s">
        <v>2569</v>
      </c>
      <c r="D1234" t="s">
        <v>250</v>
      </c>
      <c r="E1234" t="s">
        <v>251</v>
      </c>
      <c r="F1234" t="str">
        <f>"45.0799"</f>
        <v>45.0799</v>
      </c>
      <c r="G1234" s="8" t="s">
        <v>2569</v>
      </c>
    </row>
    <row r="1235" spans="1:7" x14ac:dyDescent="0.35">
      <c r="A1235" t="str">
        <f>"45.0901"</f>
        <v>45.0901</v>
      </c>
      <c r="B1235" t="s">
        <v>2570</v>
      </c>
      <c r="C1235" s="8" t="s">
        <v>2571</v>
      </c>
      <c r="D1235" t="s">
        <v>250</v>
      </c>
      <c r="E1235" t="s">
        <v>251</v>
      </c>
      <c r="F1235" t="str">
        <f>"45.0901"</f>
        <v>45.0901</v>
      </c>
      <c r="G1235" s="8" t="s">
        <v>2571</v>
      </c>
    </row>
    <row r="1236" spans="1:7" x14ac:dyDescent="0.35">
      <c r="A1236" t="str">
        <f>"45.0902"</f>
        <v>45.0902</v>
      </c>
      <c r="B1236" t="s">
        <v>2572</v>
      </c>
      <c r="C1236" s="8" t="s">
        <v>2573</v>
      </c>
      <c r="D1236" t="s">
        <v>250</v>
      </c>
      <c r="E1236" t="s">
        <v>251</v>
      </c>
      <c r="F1236" t="str">
        <f>"45.0902"</f>
        <v>45.0902</v>
      </c>
      <c r="G1236" s="8" t="s">
        <v>2573</v>
      </c>
    </row>
    <row r="1237" spans="1:7" ht="29" x14ac:dyDescent="0.35">
      <c r="A1237" t="str">
        <f>"45.0999"</f>
        <v>45.0999</v>
      </c>
      <c r="B1237" t="s">
        <v>2574</v>
      </c>
      <c r="C1237" s="8" t="s">
        <v>2575</v>
      </c>
      <c r="D1237" t="s">
        <v>250</v>
      </c>
      <c r="E1237" t="s">
        <v>251</v>
      </c>
      <c r="F1237" t="str">
        <f>"45.0999"</f>
        <v>45.0999</v>
      </c>
      <c r="G1237" s="8" t="s">
        <v>2575</v>
      </c>
    </row>
    <row r="1238" spans="1:7" x14ac:dyDescent="0.35">
      <c r="A1238" t="str">
        <f>"45.1001"</f>
        <v>45.1001</v>
      </c>
      <c r="B1238" t="s">
        <v>2576</v>
      </c>
      <c r="C1238" s="8" t="s">
        <v>2577</v>
      </c>
      <c r="D1238" t="s">
        <v>250</v>
      </c>
      <c r="E1238" t="s">
        <v>251</v>
      </c>
      <c r="F1238" t="str">
        <f>"45.1001"</f>
        <v>45.1001</v>
      </c>
      <c r="G1238" s="8" t="s">
        <v>2577</v>
      </c>
    </row>
    <row r="1239" spans="1:7" ht="29" x14ac:dyDescent="0.35">
      <c r="A1239" t="str">
        <f>"45.1002"</f>
        <v>45.1002</v>
      </c>
      <c r="B1239" t="s">
        <v>2578</v>
      </c>
      <c r="C1239" s="8" t="s">
        <v>2579</v>
      </c>
      <c r="D1239" t="s">
        <v>250</v>
      </c>
      <c r="E1239" t="s">
        <v>251</v>
      </c>
      <c r="F1239" t="str">
        <f>"45.1002"</f>
        <v>45.1002</v>
      </c>
      <c r="G1239" s="8" t="s">
        <v>2579</v>
      </c>
    </row>
    <row r="1240" spans="1:7" x14ac:dyDescent="0.35">
      <c r="A1240" t="str">
        <f>"45.1003"</f>
        <v>45.1003</v>
      </c>
      <c r="B1240" t="s">
        <v>2580</v>
      </c>
      <c r="C1240" s="8" t="s">
        <v>2581</v>
      </c>
      <c r="D1240" t="s">
        <v>250</v>
      </c>
      <c r="E1240" t="s">
        <v>251</v>
      </c>
      <c r="F1240" t="str">
        <f>"45.1003"</f>
        <v>45.1003</v>
      </c>
      <c r="G1240" s="8" t="s">
        <v>2581</v>
      </c>
    </row>
    <row r="1241" spans="1:7" x14ac:dyDescent="0.35">
      <c r="A1241" t="str">
        <f>"45.1004"</f>
        <v>45.1004</v>
      </c>
      <c r="B1241" t="s">
        <v>2582</v>
      </c>
      <c r="C1241" s="8" t="s">
        <v>2583</v>
      </c>
      <c r="D1241" t="s">
        <v>250</v>
      </c>
      <c r="E1241" t="s">
        <v>251</v>
      </c>
      <c r="F1241" t="str">
        <f>"45.1004"</f>
        <v>45.1004</v>
      </c>
      <c r="G1241" s="8" t="s">
        <v>2583</v>
      </c>
    </row>
    <row r="1242" spans="1:7" x14ac:dyDescent="0.35">
      <c r="A1242" t="str">
        <f>"45.1099"</f>
        <v>45.1099</v>
      </c>
      <c r="B1242" t="s">
        <v>2584</v>
      </c>
      <c r="C1242" s="8" t="s">
        <v>2585</v>
      </c>
      <c r="D1242" t="s">
        <v>250</v>
      </c>
      <c r="E1242" t="s">
        <v>251</v>
      </c>
      <c r="F1242" t="str">
        <f>"45.1099"</f>
        <v>45.1099</v>
      </c>
      <c r="G1242" s="8" t="s">
        <v>2585</v>
      </c>
    </row>
    <row r="1243" spans="1:7" x14ac:dyDescent="0.35">
      <c r="A1243" t="str">
        <f>"45.1101"</f>
        <v>45.1101</v>
      </c>
      <c r="B1243" t="s">
        <v>2586</v>
      </c>
      <c r="C1243" s="8" t="s">
        <v>2587</v>
      </c>
      <c r="D1243" t="s">
        <v>250</v>
      </c>
      <c r="E1243" t="s">
        <v>264</v>
      </c>
      <c r="F1243" t="str">
        <f>"45.1101"</f>
        <v>45.1101</v>
      </c>
      <c r="G1243" s="8" t="s">
        <v>2588</v>
      </c>
    </row>
    <row r="1244" spans="1:7" x14ac:dyDescent="0.35">
      <c r="D1244" t="s">
        <v>275</v>
      </c>
      <c r="E1244" t="s">
        <v>251</v>
      </c>
      <c r="F1244" t="str">
        <f>"45.1102"</f>
        <v>45.1102</v>
      </c>
      <c r="G1244" s="8" t="s">
        <v>2589</v>
      </c>
    </row>
    <row r="1245" spans="1:7" x14ac:dyDescent="0.35">
      <c r="D1245" t="s">
        <v>275</v>
      </c>
      <c r="E1245" t="s">
        <v>251</v>
      </c>
      <c r="F1245" t="str">
        <f>"45.1199"</f>
        <v>45.1199</v>
      </c>
      <c r="G1245" s="8" t="s">
        <v>2590</v>
      </c>
    </row>
    <row r="1246" spans="1:7" x14ac:dyDescent="0.35">
      <c r="A1246" t="str">
        <f>"45.1201"</f>
        <v>45.1201</v>
      </c>
      <c r="B1246" t="s">
        <v>2591</v>
      </c>
      <c r="C1246" s="8" t="s">
        <v>2592</v>
      </c>
      <c r="D1246" t="s">
        <v>250</v>
      </c>
      <c r="E1246" t="s">
        <v>251</v>
      </c>
      <c r="F1246" t="str">
        <f>"45.1201"</f>
        <v>45.1201</v>
      </c>
      <c r="G1246" s="8" t="s">
        <v>2592</v>
      </c>
    </row>
    <row r="1247" spans="1:7" x14ac:dyDescent="0.35">
      <c r="A1247" t="str">
        <f>"45.1301"</f>
        <v>45.1301</v>
      </c>
      <c r="B1247" t="s">
        <v>2593</v>
      </c>
      <c r="C1247" s="8" t="s">
        <v>2594</v>
      </c>
      <c r="D1247" t="s">
        <v>250</v>
      </c>
      <c r="E1247" t="s">
        <v>251</v>
      </c>
      <c r="F1247" t="str">
        <f>"45.1301"</f>
        <v>45.1301</v>
      </c>
      <c r="G1247" s="8" t="s">
        <v>2594</v>
      </c>
    </row>
    <row r="1248" spans="1:7" x14ac:dyDescent="0.35">
      <c r="A1248" t="str">
        <f>"45.1401"</f>
        <v>45.1401</v>
      </c>
      <c r="B1248" t="s">
        <v>2595</v>
      </c>
      <c r="C1248" s="8" t="s">
        <v>2596</v>
      </c>
      <c r="D1248" t="s">
        <v>295</v>
      </c>
      <c r="E1248" t="s">
        <v>251</v>
      </c>
      <c r="F1248" t="str">
        <f>"45.1103"</f>
        <v>45.1103</v>
      </c>
      <c r="G1248" s="8" t="s">
        <v>2596</v>
      </c>
    </row>
    <row r="1249" spans="1:7" x14ac:dyDescent="0.35">
      <c r="D1249" t="s">
        <v>275</v>
      </c>
      <c r="E1249" t="s">
        <v>251</v>
      </c>
      <c r="F1249" t="str">
        <f>"45.1501"</f>
        <v>45.1501</v>
      </c>
      <c r="G1249" s="8" t="s">
        <v>2597</v>
      </c>
    </row>
    <row r="1250" spans="1:7" x14ac:dyDescent="0.35">
      <c r="A1250" t="str">
        <f>"45.9999"</f>
        <v>45.9999</v>
      </c>
      <c r="B1250" t="s">
        <v>2598</v>
      </c>
      <c r="C1250" s="8" t="s">
        <v>2531</v>
      </c>
      <c r="D1250" t="s">
        <v>250</v>
      </c>
      <c r="E1250" t="s">
        <v>251</v>
      </c>
      <c r="F1250" t="str">
        <f>"45.9999"</f>
        <v>45.9999</v>
      </c>
      <c r="G1250" s="8" t="s">
        <v>2531</v>
      </c>
    </row>
    <row r="1251" spans="1:7" x14ac:dyDescent="0.35">
      <c r="A1251" t="str">
        <f>"46.0000"</f>
        <v>46.0000</v>
      </c>
      <c r="B1251" t="s">
        <v>2599</v>
      </c>
      <c r="C1251" s="8" t="s">
        <v>2600</v>
      </c>
      <c r="D1251" t="s">
        <v>250</v>
      </c>
      <c r="E1251" t="s">
        <v>251</v>
      </c>
      <c r="F1251" t="str">
        <f>"46.0000"</f>
        <v>46.0000</v>
      </c>
      <c r="G1251" s="8" t="s">
        <v>2600</v>
      </c>
    </row>
    <row r="1252" spans="1:7" x14ac:dyDescent="0.35">
      <c r="A1252" t="str">
        <f>"46.0101"</f>
        <v>46.0101</v>
      </c>
      <c r="B1252" t="s">
        <v>2601</v>
      </c>
      <c r="C1252" s="8" t="s">
        <v>2602</v>
      </c>
      <c r="D1252" t="s">
        <v>250</v>
      </c>
      <c r="E1252" t="s">
        <v>251</v>
      </c>
      <c r="F1252" t="str">
        <f>"46.0101"</f>
        <v>46.0101</v>
      </c>
      <c r="G1252" s="8" t="s">
        <v>2602</v>
      </c>
    </row>
    <row r="1253" spans="1:7" x14ac:dyDescent="0.35">
      <c r="A1253" t="str">
        <f>"46.0201"</f>
        <v>46.0201</v>
      </c>
      <c r="B1253" t="s">
        <v>2603</v>
      </c>
      <c r="C1253" s="8" t="s">
        <v>2604</v>
      </c>
      <c r="D1253" t="s">
        <v>250</v>
      </c>
      <c r="E1253" t="s">
        <v>251</v>
      </c>
      <c r="F1253" t="str">
        <f>"46.0201"</f>
        <v>46.0201</v>
      </c>
      <c r="G1253" s="8" t="s">
        <v>2604</v>
      </c>
    </row>
    <row r="1254" spans="1:7" ht="29" x14ac:dyDescent="0.35">
      <c r="A1254" t="str">
        <f>"46.0301"</f>
        <v>46.0301</v>
      </c>
      <c r="B1254" t="s">
        <v>2605</v>
      </c>
      <c r="C1254" s="8" t="s">
        <v>2606</v>
      </c>
      <c r="D1254" t="s">
        <v>250</v>
      </c>
      <c r="E1254" t="s">
        <v>251</v>
      </c>
      <c r="F1254" t="str">
        <f>"46.0301"</f>
        <v>46.0301</v>
      </c>
      <c r="G1254" s="8" t="s">
        <v>2606</v>
      </c>
    </row>
    <row r="1255" spans="1:7" x14ac:dyDescent="0.35">
      <c r="A1255" t="str">
        <f>"46.0302"</f>
        <v>46.0302</v>
      </c>
      <c r="B1255" t="s">
        <v>2607</v>
      </c>
      <c r="C1255" s="8" t="s">
        <v>2608</v>
      </c>
      <c r="D1255" t="s">
        <v>250</v>
      </c>
      <c r="E1255" t="s">
        <v>251</v>
      </c>
      <c r="F1255" t="str">
        <f>"46.0302"</f>
        <v>46.0302</v>
      </c>
      <c r="G1255" s="8" t="s">
        <v>2608</v>
      </c>
    </row>
    <row r="1256" spans="1:7" x14ac:dyDescent="0.35">
      <c r="A1256" t="str">
        <f>"46.0303"</f>
        <v>46.0303</v>
      </c>
      <c r="B1256" t="s">
        <v>2609</v>
      </c>
      <c r="C1256" s="8" t="s">
        <v>2610</v>
      </c>
      <c r="D1256" t="s">
        <v>250</v>
      </c>
      <c r="E1256" t="s">
        <v>251</v>
      </c>
      <c r="F1256" t="str">
        <f>"46.0303"</f>
        <v>46.0303</v>
      </c>
      <c r="G1256" s="8" t="s">
        <v>2610</v>
      </c>
    </row>
    <row r="1257" spans="1:7" ht="29" x14ac:dyDescent="0.35">
      <c r="A1257" t="str">
        <f>"46.0399"</f>
        <v>46.0399</v>
      </c>
      <c r="B1257" t="s">
        <v>2611</v>
      </c>
      <c r="C1257" s="8" t="s">
        <v>2612</v>
      </c>
      <c r="D1257" t="s">
        <v>250</v>
      </c>
      <c r="E1257" t="s">
        <v>251</v>
      </c>
      <c r="F1257" t="str">
        <f>"46.0399"</f>
        <v>46.0399</v>
      </c>
      <c r="G1257" s="8" t="s">
        <v>2612</v>
      </c>
    </row>
    <row r="1258" spans="1:7" x14ac:dyDescent="0.35">
      <c r="A1258" t="str">
        <f>"46.0401"</f>
        <v>46.0401</v>
      </c>
      <c r="B1258" t="s">
        <v>2613</v>
      </c>
      <c r="C1258" s="8" t="s">
        <v>2614</v>
      </c>
      <c r="D1258" t="s">
        <v>250</v>
      </c>
      <c r="E1258" t="s">
        <v>251</v>
      </c>
      <c r="F1258" t="str">
        <f>"46.0401"</f>
        <v>46.0401</v>
      </c>
      <c r="G1258" s="8" t="s">
        <v>2614</v>
      </c>
    </row>
    <row r="1259" spans="1:7" x14ac:dyDescent="0.35">
      <c r="A1259" t="str">
        <f>"46.0402"</f>
        <v>46.0402</v>
      </c>
      <c r="B1259" t="s">
        <v>2615</v>
      </c>
      <c r="C1259" s="8" t="s">
        <v>2616</v>
      </c>
      <c r="D1259" t="s">
        <v>250</v>
      </c>
      <c r="E1259" t="s">
        <v>251</v>
      </c>
      <c r="F1259" t="str">
        <f>"46.0402"</f>
        <v>46.0402</v>
      </c>
      <c r="G1259" s="8" t="s">
        <v>2616</v>
      </c>
    </row>
    <row r="1260" spans="1:7" ht="29" x14ac:dyDescent="0.35">
      <c r="A1260" t="str">
        <f>"46.0403"</f>
        <v>46.0403</v>
      </c>
      <c r="B1260" t="s">
        <v>2617</v>
      </c>
      <c r="C1260" s="8" t="s">
        <v>2618</v>
      </c>
      <c r="D1260" t="s">
        <v>250</v>
      </c>
      <c r="E1260" t="s">
        <v>251</v>
      </c>
      <c r="F1260" t="str">
        <f>"46.0403"</f>
        <v>46.0403</v>
      </c>
      <c r="G1260" s="8" t="s">
        <v>2618</v>
      </c>
    </row>
    <row r="1261" spans="1:7" x14ac:dyDescent="0.35">
      <c r="A1261" t="str">
        <f>"46.0404"</f>
        <v>46.0404</v>
      </c>
      <c r="B1261" t="s">
        <v>2619</v>
      </c>
      <c r="C1261" s="8" t="s">
        <v>2620</v>
      </c>
      <c r="D1261" t="s">
        <v>250</v>
      </c>
      <c r="E1261" t="s">
        <v>251</v>
      </c>
      <c r="F1261" t="str">
        <f>"46.0404"</f>
        <v>46.0404</v>
      </c>
      <c r="G1261" s="8" t="s">
        <v>2620</v>
      </c>
    </row>
    <row r="1262" spans="1:7" x14ac:dyDescent="0.35">
      <c r="A1262" t="str">
        <f>"46.0406"</f>
        <v>46.0406</v>
      </c>
      <c r="B1262" t="s">
        <v>2621</v>
      </c>
      <c r="C1262" s="8" t="s">
        <v>2622</v>
      </c>
      <c r="D1262" t="s">
        <v>250</v>
      </c>
      <c r="E1262" t="s">
        <v>251</v>
      </c>
      <c r="F1262" t="str">
        <f>"46.0406"</f>
        <v>46.0406</v>
      </c>
      <c r="G1262" s="8" t="s">
        <v>2622</v>
      </c>
    </row>
    <row r="1263" spans="1:7" x14ac:dyDescent="0.35">
      <c r="A1263" t="str">
        <f>"46.0408"</f>
        <v>46.0408</v>
      </c>
      <c r="B1263" t="s">
        <v>2623</v>
      </c>
      <c r="C1263" s="8" t="s">
        <v>2624</v>
      </c>
      <c r="D1263" t="s">
        <v>250</v>
      </c>
      <c r="E1263" t="s">
        <v>251</v>
      </c>
      <c r="F1263" t="str">
        <f>"46.0408"</f>
        <v>46.0408</v>
      </c>
      <c r="G1263" s="8" t="s">
        <v>2624</v>
      </c>
    </row>
    <row r="1264" spans="1:7" x14ac:dyDescent="0.35">
      <c r="A1264" t="str">
        <f>"46.0410"</f>
        <v>46.0410</v>
      </c>
      <c r="B1264" t="s">
        <v>2625</v>
      </c>
      <c r="C1264" s="8" t="s">
        <v>2626</v>
      </c>
      <c r="D1264" t="s">
        <v>250</v>
      </c>
      <c r="E1264" t="s">
        <v>251</v>
      </c>
      <c r="F1264" t="str">
        <f>"46.0410"</f>
        <v>46.0410</v>
      </c>
      <c r="G1264" s="8" t="s">
        <v>2626</v>
      </c>
    </row>
    <row r="1265" spans="1:7" x14ac:dyDescent="0.35">
      <c r="A1265" t="str">
        <f>"46.0411"</f>
        <v>46.0411</v>
      </c>
      <c r="B1265" t="s">
        <v>2627</v>
      </c>
      <c r="C1265" s="8" t="s">
        <v>2628</v>
      </c>
      <c r="D1265" t="s">
        <v>250</v>
      </c>
      <c r="E1265" t="s">
        <v>251</v>
      </c>
      <c r="F1265" t="str">
        <f>"46.0411"</f>
        <v>46.0411</v>
      </c>
      <c r="G1265" s="8" t="s">
        <v>2628</v>
      </c>
    </row>
    <row r="1266" spans="1:7" ht="29" x14ac:dyDescent="0.35">
      <c r="A1266" t="str">
        <f>"46.0412"</f>
        <v>46.0412</v>
      </c>
      <c r="B1266" t="s">
        <v>2629</v>
      </c>
      <c r="C1266" s="8" t="s">
        <v>2630</v>
      </c>
      <c r="D1266" t="s">
        <v>250</v>
      </c>
      <c r="E1266" t="s">
        <v>251</v>
      </c>
      <c r="F1266" t="str">
        <f>"46.0412"</f>
        <v>46.0412</v>
      </c>
      <c r="G1266" s="8" t="s">
        <v>2630</v>
      </c>
    </row>
    <row r="1267" spans="1:7" x14ac:dyDescent="0.35">
      <c r="A1267" t="str">
        <f>"46.0413"</f>
        <v>46.0413</v>
      </c>
      <c r="B1267" t="s">
        <v>2631</v>
      </c>
      <c r="C1267" s="8" t="s">
        <v>2632</v>
      </c>
      <c r="D1267" t="s">
        <v>250</v>
      </c>
      <c r="E1267" t="s">
        <v>251</v>
      </c>
      <c r="F1267" t="str">
        <f>"46.0413"</f>
        <v>46.0413</v>
      </c>
      <c r="G1267" s="8" t="s">
        <v>2632</v>
      </c>
    </row>
    <row r="1268" spans="1:7" x14ac:dyDescent="0.35">
      <c r="A1268" t="str">
        <f>"46.0414"</f>
        <v>46.0414</v>
      </c>
      <c r="B1268" t="s">
        <v>2633</v>
      </c>
      <c r="C1268" s="8" t="s">
        <v>2634</v>
      </c>
      <c r="D1268" t="s">
        <v>250</v>
      </c>
      <c r="E1268" t="s">
        <v>251</v>
      </c>
      <c r="F1268" t="str">
        <f>"46.0414"</f>
        <v>46.0414</v>
      </c>
      <c r="G1268" s="8" t="s">
        <v>2634</v>
      </c>
    </row>
    <row r="1269" spans="1:7" x14ac:dyDescent="0.35">
      <c r="A1269" t="str">
        <f>"46.0415"</f>
        <v>46.0415</v>
      </c>
      <c r="B1269" t="s">
        <v>2635</v>
      </c>
      <c r="C1269" s="8" t="s">
        <v>2636</v>
      </c>
      <c r="D1269" t="s">
        <v>250</v>
      </c>
      <c r="E1269" t="s">
        <v>264</v>
      </c>
      <c r="F1269" t="str">
        <f>"46.0415"</f>
        <v>46.0415</v>
      </c>
      <c r="G1269" s="8" t="s">
        <v>2637</v>
      </c>
    </row>
    <row r="1270" spans="1:7" ht="29" x14ac:dyDescent="0.35">
      <c r="A1270" t="str">
        <f>"46.0499"</f>
        <v>46.0499</v>
      </c>
      <c r="B1270" t="s">
        <v>2638</v>
      </c>
      <c r="C1270" s="8" t="s">
        <v>2639</v>
      </c>
      <c r="D1270" t="s">
        <v>250</v>
      </c>
      <c r="E1270" t="s">
        <v>251</v>
      </c>
      <c r="F1270" t="str">
        <f>"46.0499"</f>
        <v>46.0499</v>
      </c>
      <c r="G1270" s="8" t="s">
        <v>2639</v>
      </c>
    </row>
    <row r="1271" spans="1:7" x14ac:dyDescent="0.35">
      <c r="A1271" t="str">
        <f>"46.0502"</f>
        <v>46.0502</v>
      </c>
      <c r="B1271" t="s">
        <v>2640</v>
      </c>
      <c r="C1271" s="8" t="s">
        <v>2641</v>
      </c>
      <c r="D1271" t="s">
        <v>250</v>
      </c>
      <c r="E1271" t="s">
        <v>251</v>
      </c>
      <c r="F1271" t="str">
        <f>"46.0502"</f>
        <v>46.0502</v>
      </c>
      <c r="G1271" s="8" t="s">
        <v>2641</v>
      </c>
    </row>
    <row r="1272" spans="1:7" x14ac:dyDescent="0.35">
      <c r="A1272" t="str">
        <f>"46.0503"</f>
        <v>46.0503</v>
      </c>
      <c r="B1272" t="s">
        <v>2642</v>
      </c>
      <c r="C1272" s="8" t="s">
        <v>2643</v>
      </c>
      <c r="D1272" t="s">
        <v>250</v>
      </c>
      <c r="E1272" t="s">
        <v>251</v>
      </c>
      <c r="F1272" t="str">
        <f>"46.0503"</f>
        <v>46.0503</v>
      </c>
      <c r="G1272" s="8" t="s">
        <v>2643</v>
      </c>
    </row>
    <row r="1273" spans="1:7" x14ac:dyDescent="0.35">
      <c r="A1273" t="str">
        <f>"46.0504"</f>
        <v>46.0504</v>
      </c>
      <c r="B1273" t="s">
        <v>2644</v>
      </c>
      <c r="C1273" s="8" t="s">
        <v>2645</v>
      </c>
      <c r="D1273" t="s">
        <v>250</v>
      </c>
      <c r="E1273" t="s">
        <v>251</v>
      </c>
      <c r="F1273" t="str">
        <f>"46.0504"</f>
        <v>46.0504</v>
      </c>
      <c r="G1273" s="8" t="s">
        <v>2645</v>
      </c>
    </row>
    <row r="1274" spans="1:7" x14ac:dyDescent="0.35">
      <c r="A1274" t="str">
        <f>"46.0505"</f>
        <v>46.0505</v>
      </c>
      <c r="B1274" t="s">
        <v>2646</v>
      </c>
      <c r="C1274" s="8" t="s">
        <v>2647</v>
      </c>
      <c r="D1274" t="s">
        <v>250</v>
      </c>
      <c r="E1274" t="s">
        <v>251</v>
      </c>
      <c r="F1274" t="str">
        <f>"46.0505"</f>
        <v>46.0505</v>
      </c>
      <c r="G1274" s="8" t="s">
        <v>2647</v>
      </c>
    </row>
    <row r="1275" spans="1:7" ht="29" x14ac:dyDescent="0.35">
      <c r="A1275" t="str">
        <f>"46.0599"</f>
        <v>46.0599</v>
      </c>
      <c r="B1275" t="s">
        <v>2648</v>
      </c>
      <c r="C1275" s="8" t="s">
        <v>2649</v>
      </c>
      <c r="D1275" t="s">
        <v>250</v>
      </c>
      <c r="E1275" t="s">
        <v>251</v>
      </c>
      <c r="F1275" t="str">
        <f>"46.0599"</f>
        <v>46.0599</v>
      </c>
      <c r="G1275" s="8" t="s">
        <v>2649</v>
      </c>
    </row>
    <row r="1276" spans="1:7" x14ac:dyDescent="0.35">
      <c r="A1276" t="str">
        <f>"46.9999"</f>
        <v>46.9999</v>
      </c>
      <c r="B1276" t="s">
        <v>2650</v>
      </c>
      <c r="C1276" s="8" t="s">
        <v>2651</v>
      </c>
      <c r="D1276" t="s">
        <v>250</v>
      </c>
      <c r="E1276" t="s">
        <v>251</v>
      </c>
      <c r="F1276" t="str">
        <f>"46.9999"</f>
        <v>46.9999</v>
      </c>
      <c r="G1276" s="8" t="s">
        <v>2651</v>
      </c>
    </row>
    <row r="1277" spans="1:7" x14ac:dyDescent="0.35">
      <c r="A1277" t="str">
        <f>"47.0000"</f>
        <v>47.0000</v>
      </c>
      <c r="B1277" t="s">
        <v>2652</v>
      </c>
      <c r="C1277" s="8" t="s">
        <v>2653</v>
      </c>
      <c r="D1277" t="s">
        <v>250</v>
      </c>
      <c r="E1277" t="s">
        <v>251</v>
      </c>
      <c r="F1277" t="str">
        <f>"47.0000"</f>
        <v>47.0000</v>
      </c>
      <c r="G1277" s="8" t="s">
        <v>2653</v>
      </c>
    </row>
    <row r="1278" spans="1:7" ht="29" x14ac:dyDescent="0.35">
      <c r="A1278" t="str">
        <f>"47.0101"</f>
        <v>47.0101</v>
      </c>
      <c r="B1278" t="s">
        <v>2654</v>
      </c>
      <c r="C1278" s="8" t="s">
        <v>2655</v>
      </c>
      <c r="D1278" t="s">
        <v>250</v>
      </c>
      <c r="E1278" t="s">
        <v>264</v>
      </c>
      <c r="F1278" t="str">
        <f>"47.0101"</f>
        <v>47.0101</v>
      </c>
      <c r="G1278" s="8" t="s">
        <v>2656</v>
      </c>
    </row>
    <row r="1279" spans="1:7" x14ac:dyDescent="0.35">
      <c r="A1279" t="str">
        <f>"47.0102"</f>
        <v>47.0102</v>
      </c>
      <c r="B1279" t="s">
        <v>2657</v>
      </c>
      <c r="C1279" s="8" t="s">
        <v>2658</v>
      </c>
      <c r="D1279" t="s">
        <v>250</v>
      </c>
      <c r="E1279" t="s">
        <v>251</v>
      </c>
      <c r="F1279" t="str">
        <f>"47.0102"</f>
        <v>47.0102</v>
      </c>
      <c r="G1279" s="8" t="s">
        <v>2658</v>
      </c>
    </row>
    <row r="1280" spans="1:7" ht="29" x14ac:dyDescent="0.35">
      <c r="A1280" t="str">
        <f>"47.0103"</f>
        <v>47.0103</v>
      </c>
      <c r="B1280" t="s">
        <v>2659</v>
      </c>
      <c r="C1280" s="8" t="s">
        <v>2660</v>
      </c>
      <c r="D1280" t="s">
        <v>250</v>
      </c>
      <c r="E1280" t="s">
        <v>264</v>
      </c>
      <c r="F1280" t="str">
        <f>"47.0103"</f>
        <v>47.0103</v>
      </c>
      <c r="G1280" s="8" t="s">
        <v>2661</v>
      </c>
    </row>
    <row r="1281" spans="1:7" ht="29" x14ac:dyDescent="0.35">
      <c r="A1281" t="str">
        <f>"47.0104"</f>
        <v>47.0104</v>
      </c>
      <c r="B1281" t="s">
        <v>2662</v>
      </c>
      <c r="C1281" s="8" t="s">
        <v>2663</v>
      </c>
      <c r="D1281" t="s">
        <v>250</v>
      </c>
      <c r="E1281" t="s">
        <v>251</v>
      </c>
      <c r="F1281" t="str">
        <f>"47.0104"</f>
        <v>47.0104</v>
      </c>
      <c r="G1281" s="8" t="s">
        <v>2663</v>
      </c>
    </row>
    <row r="1282" spans="1:7" ht="29" x14ac:dyDescent="0.35">
      <c r="A1282" t="str">
        <f>"47.0105"</f>
        <v>47.0105</v>
      </c>
      <c r="B1282" t="s">
        <v>2664</v>
      </c>
      <c r="C1282" s="8" t="s">
        <v>2665</v>
      </c>
      <c r="D1282" t="s">
        <v>250</v>
      </c>
      <c r="E1282" t="s">
        <v>251</v>
      </c>
      <c r="F1282" t="str">
        <f>"47.0105"</f>
        <v>47.0105</v>
      </c>
      <c r="G1282" s="8" t="s">
        <v>2665</v>
      </c>
    </row>
    <row r="1283" spans="1:7" ht="29" x14ac:dyDescent="0.35">
      <c r="A1283" t="str">
        <f>"47.0106"</f>
        <v>47.0106</v>
      </c>
      <c r="B1283" t="s">
        <v>2666</v>
      </c>
      <c r="C1283" s="8" t="s">
        <v>2667</v>
      </c>
      <c r="D1283" t="s">
        <v>250</v>
      </c>
      <c r="E1283" t="s">
        <v>251</v>
      </c>
      <c r="F1283" t="str">
        <f>"47.0106"</f>
        <v>47.0106</v>
      </c>
      <c r="G1283" s="8" t="s">
        <v>2667</v>
      </c>
    </row>
    <row r="1284" spans="1:7" ht="29" x14ac:dyDescent="0.35">
      <c r="A1284" t="str">
        <f>"47.0110"</f>
        <v>47.0110</v>
      </c>
      <c r="B1284" t="s">
        <v>2668</v>
      </c>
      <c r="C1284" s="8" t="s">
        <v>2669</v>
      </c>
      <c r="D1284" t="s">
        <v>250</v>
      </c>
      <c r="E1284" t="s">
        <v>251</v>
      </c>
      <c r="F1284" t="str">
        <f>"47.0110"</f>
        <v>47.0110</v>
      </c>
      <c r="G1284" s="8" t="s">
        <v>2669</v>
      </c>
    </row>
    <row r="1285" spans="1:7" ht="29" x14ac:dyDescent="0.35">
      <c r="A1285" t="str">
        <f>"47.0199"</f>
        <v>47.0199</v>
      </c>
      <c r="B1285" t="s">
        <v>2670</v>
      </c>
      <c r="C1285" s="8" t="s">
        <v>2671</v>
      </c>
      <c r="D1285" t="s">
        <v>250</v>
      </c>
      <c r="E1285" t="s">
        <v>264</v>
      </c>
      <c r="F1285" t="str">
        <f>"47.0199"</f>
        <v>47.0199</v>
      </c>
      <c r="G1285" s="8" t="s">
        <v>2672</v>
      </c>
    </row>
    <row r="1286" spans="1:7" ht="43.5" x14ac:dyDescent="0.35">
      <c r="A1286" t="str">
        <f>"47.0201"</f>
        <v>47.0201</v>
      </c>
      <c r="B1286" t="s">
        <v>2673</v>
      </c>
      <c r="C1286" s="8" t="s">
        <v>2674</v>
      </c>
      <c r="D1286" t="s">
        <v>250</v>
      </c>
      <c r="E1286" t="s">
        <v>251</v>
      </c>
      <c r="F1286" t="str">
        <f>"47.0201"</f>
        <v>47.0201</v>
      </c>
      <c r="G1286" s="8" t="s">
        <v>2674</v>
      </c>
    </row>
    <row r="1287" spans="1:7" ht="29" x14ac:dyDescent="0.35">
      <c r="A1287" t="str">
        <f>"47.0302"</f>
        <v>47.0302</v>
      </c>
      <c r="B1287" t="s">
        <v>2675</v>
      </c>
      <c r="C1287" s="8" t="s">
        <v>2676</v>
      </c>
      <c r="D1287" t="s">
        <v>250</v>
      </c>
      <c r="E1287" t="s">
        <v>251</v>
      </c>
      <c r="F1287" t="str">
        <f>"47.0302"</f>
        <v>47.0302</v>
      </c>
      <c r="G1287" s="8" t="s">
        <v>2676</v>
      </c>
    </row>
    <row r="1288" spans="1:7" ht="29" x14ac:dyDescent="0.35">
      <c r="A1288" t="str">
        <f>"47.0303"</f>
        <v>47.0303</v>
      </c>
      <c r="B1288" t="s">
        <v>2677</v>
      </c>
      <c r="C1288" s="8" t="s">
        <v>2678</v>
      </c>
      <c r="D1288" t="s">
        <v>250</v>
      </c>
      <c r="E1288" t="s">
        <v>264</v>
      </c>
      <c r="F1288" t="str">
        <f>"47.0303"</f>
        <v>47.0303</v>
      </c>
      <c r="G1288" s="8" t="s">
        <v>2679</v>
      </c>
    </row>
    <row r="1289" spans="1:7" ht="29" x14ac:dyDescent="0.35">
      <c r="A1289" t="str">
        <f>"47.0399"</f>
        <v>47.0399</v>
      </c>
      <c r="B1289" t="s">
        <v>2680</v>
      </c>
      <c r="C1289" s="8" t="s">
        <v>2681</v>
      </c>
      <c r="D1289" t="s">
        <v>250</v>
      </c>
      <c r="E1289" t="s">
        <v>264</v>
      </c>
      <c r="F1289" t="str">
        <f>"47.0399"</f>
        <v>47.0399</v>
      </c>
      <c r="G1289" s="8" t="s">
        <v>2682</v>
      </c>
    </row>
    <row r="1290" spans="1:7" x14ac:dyDescent="0.35">
      <c r="A1290" t="str">
        <f>"47.0402"</f>
        <v>47.0402</v>
      </c>
      <c r="B1290" t="s">
        <v>2683</v>
      </c>
      <c r="C1290" s="8" t="s">
        <v>2684</v>
      </c>
      <c r="D1290" t="s">
        <v>250</v>
      </c>
      <c r="E1290" t="s">
        <v>251</v>
      </c>
      <c r="F1290" t="str">
        <f>"47.0402"</f>
        <v>47.0402</v>
      </c>
      <c r="G1290" s="8" t="s">
        <v>2684</v>
      </c>
    </row>
    <row r="1291" spans="1:7" x14ac:dyDescent="0.35">
      <c r="A1291" t="str">
        <f>"47.0403"</f>
        <v>47.0403</v>
      </c>
      <c r="B1291" t="s">
        <v>2685</v>
      </c>
      <c r="C1291" s="8" t="s">
        <v>2686</v>
      </c>
      <c r="D1291" t="s">
        <v>250</v>
      </c>
      <c r="E1291" t="s">
        <v>251</v>
      </c>
      <c r="F1291" t="str">
        <f>"47.0403"</f>
        <v>47.0403</v>
      </c>
      <c r="G1291" s="8" t="s">
        <v>2686</v>
      </c>
    </row>
    <row r="1292" spans="1:7" ht="29" x14ac:dyDescent="0.35">
      <c r="A1292" t="str">
        <f>"47.0404"</f>
        <v>47.0404</v>
      </c>
      <c r="B1292" t="s">
        <v>2687</v>
      </c>
      <c r="C1292" s="8" t="s">
        <v>2688</v>
      </c>
      <c r="D1292" t="s">
        <v>250</v>
      </c>
      <c r="E1292" t="s">
        <v>251</v>
      </c>
      <c r="F1292" t="str">
        <f>"47.0404"</f>
        <v>47.0404</v>
      </c>
      <c r="G1292" s="8" t="s">
        <v>2688</v>
      </c>
    </row>
    <row r="1293" spans="1:7" x14ac:dyDescent="0.35">
      <c r="A1293" t="str">
        <f>"47.0408"</f>
        <v>47.0408</v>
      </c>
      <c r="B1293" t="s">
        <v>2689</v>
      </c>
      <c r="C1293" s="8" t="s">
        <v>2690</v>
      </c>
      <c r="D1293" t="s">
        <v>250</v>
      </c>
      <c r="E1293" t="s">
        <v>251</v>
      </c>
      <c r="F1293" t="str">
        <f>"47.0408"</f>
        <v>47.0408</v>
      </c>
      <c r="G1293" s="8" t="s">
        <v>2690</v>
      </c>
    </row>
    <row r="1294" spans="1:7" ht="29" x14ac:dyDescent="0.35">
      <c r="A1294" t="str">
        <f>"47.0409"</f>
        <v>47.0409</v>
      </c>
      <c r="B1294" t="s">
        <v>2691</v>
      </c>
      <c r="C1294" s="8" t="s">
        <v>2692</v>
      </c>
      <c r="D1294" t="s">
        <v>250</v>
      </c>
      <c r="E1294" t="s">
        <v>251</v>
      </c>
      <c r="F1294" t="str">
        <f>"47.0409"</f>
        <v>47.0409</v>
      </c>
      <c r="G1294" s="8" t="s">
        <v>2692</v>
      </c>
    </row>
    <row r="1295" spans="1:7" ht="29" x14ac:dyDescent="0.35">
      <c r="A1295" t="str">
        <f>"47.0499"</f>
        <v>47.0499</v>
      </c>
      <c r="B1295" t="s">
        <v>2693</v>
      </c>
      <c r="C1295" s="8" t="s">
        <v>2694</v>
      </c>
      <c r="D1295" t="s">
        <v>250</v>
      </c>
      <c r="E1295" t="s">
        <v>264</v>
      </c>
      <c r="F1295" t="str">
        <f>"47.0499"</f>
        <v>47.0499</v>
      </c>
      <c r="G1295" s="8" t="s">
        <v>2695</v>
      </c>
    </row>
    <row r="1296" spans="1:7" ht="29" x14ac:dyDescent="0.35">
      <c r="A1296" t="str">
        <f>"47.0600"</f>
        <v>47.0600</v>
      </c>
      <c r="B1296" t="s">
        <v>2696</v>
      </c>
      <c r="C1296" s="8" t="s">
        <v>2697</v>
      </c>
      <c r="D1296" t="s">
        <v>250</v>
      </c>
      <c r="E1296" t="s">
        <v>264</v>
      </c>
      <c r="F1296" t="str">
        <f>"47.0600"</f>
        <v>47.0600</v>
      </c>
      <c r="G1296" s="8" t="s">
        <v>2698</v>
      </c>
    </row>
    <row r="1297" spans="1:7" ht="29" x14ac:dyDescent="0.35">
      <c r="A1297" t="str">
        <f>"47.0603"</f>
        <v>47.0603</v>
      </c>
      <c r="B1297" t="s">
        <v>2699</v>
      </c>
      <c r="C1297" s="8" t="s">
        <v>2700</v>
      </c>
      <c r="D1297" t="s">
        <v>250</v>
      </c>
      <c r="E1297" t="s">
        <v>251</v>
      </c>
      <c r="F1297" t="str">
        <f>"47.0603"</f>
        <v>47.0603</v>
      </c>
      <c r="G1297" s="8" t="s">
        <v>2700</v>
      </c>
    </row>
    <row r="1298" spans="1:7" ht="29" x14ac:dyDescent="0.35">
      <c r="A1298" t="str">
        <f>"47.0604"</f>
        <v>47.0604</v>
      </c>
      <c r="B1298" t="s">
        <v>2701</v>
      </c>
      <c r="C1298" s="8" t="s">
        <v>2702</v>
      </c>
      <c r="D1298" t="s">
        <v>250</v>
      </c>
      <c r="E1298" t="s">
        <v>251</v>
      </c>
      <c r="F1298" t="str">
        <f>"47.0604"</f>
        <v>47.0604</v>
      </c>
      <c r="G1298" s="8" t="s">
        <v>2702</v>
      </c>
    </row>
    <row r="1299" spans="1:7" x14ac:dyDescent="0.35">
      <c r="A1299" t="str">
        <f>"47.0605"</f>
        <v>47.0605</v>
      </c>
      <c r="B1299" t="s">
        <v>2703</v>
      </c>
      <c r="C1299" s="8" t="s">
        <v>2704</v>
      </c>
      <c r="D1299" t="s">
        <v>250</v>
      </c>
      <c r="E1299" t="s">
        <v>251</v>
      </c>
      <c r="F1299" t="str">
        <f>"47.0605"</f>
        <v>47.0605</v>
      </c>
      <c r="G1299" s="8" t="s">
        <v>2704</v>
      </c>
    </row>
    <row r="1300" spans="1:7" ht="29" x14ac:dyDescent="0.35">
      <c r="A1300" t="str">
        <f>"47.0606"</f>
        <v>47.0606</v>
      </c>
      <c r="B1300" t="s">
        <v>2705</v>
      </c>
      <c r="C1300" s="8" t="s">
        <v>2706</v>
      </c>
      <c r="D1300" t="s">
        <v>250</v>
      </c>
      <c r="E1300" t="s">
        <v>251</v>
      </c>
      <c r="F1300" t="str">
        <f>"47.0606"</f>
        <v>47.0606</v>
      </c>
      <c r="G1300" s="8" t="s">
        <v>2706</v>
      </c>
    </row>
    <row r="1301" spans="1:7" ht="29" x14ac:dyDescent="0.35">
      <c r="A1301" t="str">
        <f>"47.0607"</f>
        <v>47.0607</v>
      </c>
      <c r="B1301" t="s">
        <v>2707</v>
      </c>
      <c r="C1301" s="8" t="s">
        <v>2708</v>
      </c>
      <c r="D1301" t="s">
        <v>250</v>
      </c>
      <c r="E1301" t="s">
        <v>251</v>
      </c>
      <c r="F1301" t="str">
        <f>"47.0607"</f>
        <v>47.0607</v>
      </c>
      <c r="G1301" s="8" t="s">
        <v>2708</v>
      </c>
    </row>
    <row r="1302" spans="1:7" ht="29" x14ac:dyDescent="0.35">
      <c r="A1302" t="str">
        <f>"47.0608"</f>
        <v>47.0608</v>
      </c>
      <c r="B1302" t="s">
        <v>2709</v>
      </c>
      <c r="C1302" s="8" t="s">
        <v>2710</v>
      </c>
      <c r="D1302" t="s">
        <v>250</v>
      </c>
      <c r="E1302" t="s">
        <v>251</v>
      </c>
      <c r="F1302" t="str">
        <f>"47.0608"</f>
        <v>47.0608</v>
      </c>
      <c r="G1302" s="8" t="s">
        <v>2710</v>
      </c>
    </row>
    <row r="1303" spans="1:7" ht="29" x14ac:dyDescent="0.35">
      <c r="A1303" t="str">
        <f>"47.0609"</f>
        <v>47.0609</v>
      </c>
      <c r="B1303" t="s">
        <v>2711</v>
      </c>
      <c r="C1303" s="8" t="s">
        <v>2712</v>
      </c>
      <c r="D1303" t="s">
        <v>250</v>
      </c>
      <c r="E1303" t="s">
        <v>251</v>
      </c>
      <c r="F1303" t="str">
        <f>"47.0609"</f>
        <v>47.0609</v>
      </c>
      <c r="G1303" s="8" t="s">
        <v>2712</v>
      </c>
    </row>
    <row r="1304" spans="1:7" ht="29" x14ac:dyDescent="0.35">
      <c r="A1304" t="str">
        <f>"47.0610"</f>
        <v>47.0610</v>
      </c>
      <c r="B1304" t="s">
        <v>2713</v>
      </c>
      <c r="C1304" s="8" t="s">
        <v>2714</v>
      </c>
      <c r="D1304" t="s">
        <v>250</v>
      </c>
      <c r="E1304" t="s">
        <v>251</v>
      </c>
      <c r="F1304" t="str">
        <f>"47.0610"</f>
        <v>47.0610</v>
      </c>
      <c r="G1304" s="8" t="s">
        <v>2714</v>
      </c>
    </row>
    <row r="1305" spans="1:7" ht="29" x14ac:dyDescent="0.35">
      <c r="A1305" t="str">
        <f>"47.0611"</f>
        <v>47.0611</v>
      </c>
      <c r="B1305" t="s">
        <v>2715</v>
      </c>
      <c r="C1305" s="8" t="s">
        <v>2716</v>
      </c>
      <c r="D1305" t="s">
        <v>250</v>
      </c>
      <c r="E1305" t="s">
        <v>251</v>
      </c>
      <c r="F1305" t="str">
        <f>"47.0611"</f>
        <v>47.0611</v>
      </c>
      <c r="G1305" s="8" t="s">
        <v>2716</v>
      </c>
    </row>
    <row r="1306" spans="1:7" ht="29" x14ac:dyDescent="0.35">
      <c r="A1306" t="str">
        <f>"47.0612"</f>
        <v>47.0612</v>
      </c>
      <c r="B1306" t="s">
        <v>2717</v>
      </c>
      <c r="C1306" s="8" t="s">
        <v>2718</v>
      </c>
      <c r="D1306" t="s">
        <v>250</v>
      </c>
      <c r="E1306" t="s">
        <v>251</v>
      </c>
      <c r="F1306" t="str">
        <f>"47.0612"</f>
        <v>47.0612</v>
      </c>
      <c r="G1306" s="8" t="s">
        <v>2718</v>
      </c>
    </row>
    <row r="1307" spans="1:7" ht="29" x14ac:dyDescent="0.35">
      <c r="A1307" t="str">
        <f>"47.0613"</f>
        <v>47.0613</v>
      </c>
      <c r="B1307" t="s">
        <v>2719</v>
      </c>
      <c r="C1307" s="8" t="s">
        <v>2720</v>
      </c>
      <c r="D1307" t="s">
        <v>250</v>
      </c>
      <c r="E1307" t="s">
        <v>251</v>
      </c>
      <c r="F1307" t="str">
        <f>"47.0613"</f>
        <v>47.0613</v>
      </c>
      <c r="G1307" s="8" t="s">
        <v>2720</v>
      </c>
    </row>
    <row r="1308" spans="1:7" ht="29" x14ac:dyDescent="0.35">
      <c r="A1308" t="str">
        <f>"47.0614"</f>
        <v>47.0614</v>
      </c>
      <c r="B1308" t="s">
        <v>2721</v>
      </c>
      <c r="C1308" s="8" t="s">
        <v>2722</v>
      </c>
      <c r="D1308" t="s">
        <v>250</v>
      </c>
      <c r="E1308" t="s">
        <v>251</v>
      </c>
      <c r="F1308" t="str">
        <f>"47.0614"</f>
        <v>47.0614</v>
      </c>
      <c r="G1308" s="8" t="s">
        <v>2722</v>
      </c>
    </row>
    <row r="1309" spans="1:7" x14ac:dyDescent="0.35">
      <c r="A1309" t="str">
        <f>"47.0615"</f>
        <v>47.0615</v>
      </c>
      <c r="B1309" t="s">
        <v>2723</v>
      </c>
      <c r="C1309" s="8" t="s">
        <v>2724</v>
      </c>
      <c r="D1309" t="s">
        <v>250</v>
      </c>
      <c r="E1309" t="s">
        <v>251</v>
      </c>
      <c r="F1309" t="str">
        <f>"47.0615"</f>
        <v>47.0615</v>
      </c>
      <c r="G1309" s="8" t="s">
        <v>2724</v>
      </c>
    </row>
    <row r="1310" spans="1:7" ht="29" x14ac:dyDescent="0.35">
      <c r="A1310" t="str">
        <f>"47.0616"</f>
        <v>47.0616</v>
      </c>
      <c r="B1310" t="s">
        <v>2725</v>
      </c>
      <c r="C1310" s="8" t="s">
        <v>2726</v>
      </c>
      <c r="D1310" t="s">
        <v>250</v>
      </c>
      <c r="E1310" t="s">
        <v>251</v>
      </c>
      <c r="F1310" t="str">
        <f>"47.0616"</f>
        <v>47.0616</v>
      </c>
      <c r="G1310" s="8" t="s">
        <v>2726</v>
      </c>
    </row>
    <row r="1311" spans="1:7" ht="29" x14ac:dyDescent="0.35">
      <c r="A1311" t="str">
        <f>"47.0617"</f>
        <v>47.0617</v>
      </c>
      <c r="B1311" t="s">
        <v>2727</v>
      </c>
      <c r="C1311" s="8" t="s">
        <v>2728</v>
      </c>
      <c r="D1311" t="s">
        <v>250</v>
      </c>
      <c r="E1311" t="s">
        <v>251</v>
      </c>
      <c r="F1311" t="str">
        <f>"47.0617"</f>
        <v>47.0617</v>
      </c>
      <c r="G1311" s="8" t="s">
        <v>2728</v>
      </c>
    </row>
    <row r="1312" spans="1:7" x14ac:dyDescent="0.35">
      <c r="A1312" t="str">
        <f>"47.0618"</f>
        <v>47.0618</v>
      </c>
      <c r="B1312" t="s">
        <v>2729</v>
      </c>
      <c r="C1312" s="8" t="s">
        <v>2730</v>
      </c>
      <c r="D1312" t="s">
        <v>250</v>
      </c>
      <c r="E1312" t="s">
        <v>251</v>
      </c>
      <c r="F1312" t="str">
        <f>"47.0618"</f>
        <v>47.0618</v>
      </c>
      <c r="G1312" s="8" t="s">
        <v>2730</v>
      </c>
    </row>
    <row r="1313" spans="1:7" ht="29" x14ac:dyDescent="0.35">
      <c r="A1313" t="str">
        <f>"47.0699"</f>
        <v>47.0699</v>
      </c>
      <c r="B1313" t="s">
        <v>2731</v>
      </c>
      <c r="C1313" s="8" t="s">
        <v>2732</v>
      </c>
      <c r="D1313" t="s">
        <v>250</v>
      </c>
      <c r="E1313" t="s">
        <v>264</v>
      </c>
      <c r="F1313" t="str">
        <f>"47.0699"</f>
        <v>47.0699</v>
      </c>
      <c r="G1313" s="8" t="s">
        <v>2733</v>
      </c>
    </row>
    <row r="1314" spans="1:7" ht="29" x14ac:dyDescent="0.35">
      <c r="D1314" t="s">
        <v>275</v>
      </c>
      <c r="E1314" t="s">
        <v>251</v>
      </c>
      <c r="F1314" t="str">
        <f>"47.0701"</f>
        <v>47.0701</v>
      </c>
      <c r="G1314" s="8" t="s">
        <v>2734</v>
      </c>
    </row>
    <row r="1315" spans="1:7" ht="29" x14ac:dyDescent="0.35">
      <c r="D1315" t="s">
        <v>275</v>
      </c>
      <c r="E1315" t="s">
        <v>251</v>
      </c>
      <c r="F1315" t="str">
        <f>"47.0703"</f>
        <v>47.0703</v>
      </c>
      <c r="G1315" s="8" t="s">
        <v>2735</v>
      </c>
    </row>
    <row r="1316" spans="1:7" ht="29" x14ac:dyDescent="0.35">
      <c r="D1316" t="s">
        <v>275</v>
      </c>
      <c r="E1316" t="s">
        <v>251</v>
      </c>
      <c r="F1316" t="str">
        <f>"47.0704"</f>
        <v>47.0704</v>
      </c>
      <c r="G1316" s="8" t="s">
        <v>2736</v>
      </c>
    </row>
    <row r="1317" spans="1:7" ht="29" x14ac:dyDescent="0.35">
      <c r="D1317" t="s">
        <v>275</v>
      </c>
      <c r="E1317" t="s">
        <v>251</v>
      </c>
      <c r="F1317" t="str">
        <f>"47.0705"</f>
        <v>47.0705</v>
      </c>
      <c r="G1317" s="8" t="s">
        <v>2737</v>
      </c>
    </row>
    <row r="1318" spans="1:7" ht="29" x14ac:dyDescent="0.35">
      <c r="D1318" t="s">
        <v>275</v>
      </c>
      <c r="E1318" t="s">
        <v>251</v>
      </c>
      <c r="F1318" t="str">
        <f>"47.0706"</f>
        <v>47.0706</v>
      </c>
      <c r="G1318" s="8" t="s">
        <v>2738</v>
      </c>
    </row>
    <row r="1319" spans="1:7" ht="29" x14ac:dyDescent="0.35">
      <c r="D1319" t="s">
        <v>275</v>
      </c>
      <c r="E1319" t="s">
        <v>251</v>
      </c>
      <c r="F1319" t="str">
        <f>"47.0799"</f>
        <v>47.0799</v>
      </c>
      <c r="G1319" s="8" t="s">
        <v>2739</v>
      </c>
    </row>
    <row r="1320" spans="1:7" ht="29" x14ac:dyDescent="0.35">
      <c r="A1320" t="str">
        <f>"47.9999"</f>
        <v>47.9999</v>
      </c>
      <c r="B1320" t="s">
        <v>2740</v>
      </c>
      <c r="C1320" s="8" t="s">
        <v>2741</v>
      </c>
      <c r="D1320" t="s">
        <v>250</v>
      </c>
      <c r="E1320" t="s">
        <v>251</v>
      </c>
      <c r="F1320" t="str">
        <f>"47.9999"</f>
        <v>47.9999</v>
      </c>
      <c r="G1320" s="8" t="s">
        <v>2741</v>
      </c>
    </row>
    <row r="1321" spans="1:7" x14ac:dyDescent="0.35">
      <c r="A1321" t="str">
        <f>"48.0000"</f>
        <v>48.0000</v>
      </c>
      <c r="B1321" t="s">
        <v>2742</v>
      </c>
      <c r="C1321" s="8" t="s">
        <v>2743</v>
      </c>
      <c r="D1321" t="s">
        <v>250</v>
      </c>
      <c r="E1321" t="s">
        <v>251</v>
      </c>
      <c r="F1321" t="str">
        <f>"48.0000"</f>
        <v>48.0000</v>
      </c>
      <c r="G1321" s="8" t="s">
        <v>2743</v>
      </c>
    </row>
    <row r="1322" spans="1:7" x14ac:dyDescent="0.35">
      <c r="A1322" t="str">
        <f>"48.0303"</f>
        <v>48.0303</v>
      </c>
      <c r="B1322" t="s">
        <v>2744</v>
      </c>
      <c r="C1322" s="8" t="s">
        <v>2745</v>
      </c>
      <c r="D1322" t="s">
        <v>250</v>
      </c>
      <c r="E1322" t="s">
        <v>251</v>
      </c>
      <c r="F1322" t="str">
        <f>"48.0303"</f>
        <v>48.0303</v>
      </c>
      <c r="G1322" s="8" t="s">
        <v>2745</v>
      </c>
    </row>
    <row r="1323" spans="1:7" x14ac:dyDescent="0.35">
      <c r="A1323" t="str">
        <f>"48.0304"</f>
        <v>48.0304</v>
      </c>
      <c r="B1323" t="s">
        <v>2746</v>
      </c>
      <c r="C1323" s="8" t="s">
        <v>2747</v>
      </c>
      <c r="D1323" t="s">
        <v>250</v>
      </c>
      <c r="E1323" t="s">
        <v>251</v>
      </c>
      <c r="F1323" t="str">
        <f>"48.0304"</f>
        <v>48.0304</v>
      </c>
      <c r="G1323" s="8" t="s">
        <v>2747</v>
      </c>
    </row>
    <row r="1324" spans="1:7" x14ac:dyDescent="0.35">
      <c r="A1324" t="str">
        <f>"48.0399"</f>
        <v>48.0399</v>
      </c>
      <c r="B1324" t="s">
        <v>2748</v>
      </c>
      <c r="C1324" s="8" t="s">
        <v>2749</v>
      </c>
      <c r="D1324" t="s">
        <v>250</v>
      </c>
      <c r="E1324" t="s">
        <v>251</v>
      </c>
      <c r="F1324" t="str">
        <f>"48.0399"</f>
        <v>48.0399</v>
      </c>
      <c r="G1324" s="8" t="s">
        <v>2749</v>
      </c>
    </row>
    <row r="1325" spans="1:7" x14ac:dyDescent="0.35">
      <c r="A1325" t="str">
        <f>"48.0501"</f>
        <v>48.0501</v>
      </c>
      <c r="B1325" t="s">
        <v>2750</v>
      </c>
      <c r="C1325" s="8" t="s">
        <v>2751</v>
      </c>
      <c r="D1325" t="s">
        <v>250</v>
      </c>
      <c r="E1325" t="s">
        <v>251</v>
      </c>
      <c r="F1325" t="str">
        <f>"48.0501"</f>
        <v>48.0501</v>
      </c>
      <c r="G1325" s="8" t="s">
        <v>2751</v>
      </c>
    </row>
    <row r="1326" spans="1:7" x14ac:dyDescent="0.35">
      <c r="A1326" t="str">
        <f>"48.0503"</f>
        <v>48.0503</v>
      </c>
      <c r="B1326" t="s">
        <v>2752</v>
      </c>
      <c r="C1326" s="8" t="s">
        <v>2753</v>
      </c>
      <c r="D1326" t="s">
        <v>250</v>
      </c>
      <c r="E1326" t="s">
        <v>251</v>
      </c>
      <c r="F1326" t="str">
        <f>"48.0503"</f>
        <v>48.0503</v>
      </c>
      <c r="G1326" s="8" t="s">
        <v>2753</v>
      </c>
    </row>
    <row r="1327" spans="1:7" x14ac:dyDescent="0.35">
      <c r="A1327" t="str">
        <f>"48.0506"</f>
        <v>48.0506</v>
      </c>
      <c r="B1327" t="s">
        <v>2754</v>
      </c>
      <c r="C1327" s="8" t="s">
        <v>2755</v>
      </c>
      <c r="D1327" t="s">
        <v>250</v>
      </c>
      <c r="E1327" t="s">
        <v>251</v>
      </c>
      <c r="F1327" t="str">
        <f>"48.0506"</f>
        <v>48.0506</v>
      </c>
      <c r="G1327" s="8" t="s">
        <v>2755</v>
      </c>
    </row>
    <row r="1328" spans="1:7" x14ac:dyDescent="0.35">
      <c r="A1328" t="str">
        <f>"48.0507"</f>
        <v>48.0507</v>
      </c>
      <c r="B1328" t="s">
        <v>2756</v>
      </c>
      <c r="C1328" s="8" t="s">
        <v>2757</v>
      </c>
      <c r="D1328" t="s">
        <v>250</v>
      </c>
      <c r="E1328" t="s">
        <v>251</v>
      </c>
      <c r="F1328" t="str">
        <f>"48.0507"</f>
        <v>48.0507</v>
      </c>
      <c r="G1328" s="8" t="s">
        <v>2757</v>
      </c>
    </row>
    <row r="1329" spans="1:7" x14ac:dyDescent="0.35">
      <c r="A1329" t="str">
        <f>"48.0508"</f>
        <v>48.0508</v>
      </c>
      <c r="B1329" t="s">
        <v>2758</v>
      </c>
      <c r="C1329" s="8" t="s">
        <v>2759</v>
      </c>
      <c r="D1329" t="s">
        <v>250</v>
      </c>
      <c r="E1329" t="s">
        <v>251</v>
      </c>
      <c r="F1329" t="str">
        <f>"48.0508"</f>
        <v>48.0508</v>
      </c>
      <c r="G1329" s="8" t="s">
        <v>2759</v>
      </c>
    </row>
    <row r="1330" spans="1:7" x14ac:dyDescent="0.35">
      <c r="A1330" t="str">
        <f>"48.0509"</f>
        <v>48.0509</v>
      </c>
      <c r="B1330" t="s">
        <v>2760</v>
      </c>
      <c r="C1330" s="8" t="s">
        <v>2761</v>
      </c>
      <c r="D1330" t="s">
        <v>250</v>
      </c>
      <c r="E1330" t="s">
        <v>251</v>
      </c>
      <c r="F1330" t="str">
        <f>"48.0509"</f>
        <v>48.0509</v>
      </c>
      <c r="G1330" s="8" t="s">
        <v>2761</v>
      </c>
    </row>
    <row r="1331" spans="1:7" ht="29" x14ac:dyDescent="0.35">
      <c r="A1331" t="str">
        <f>"48.0510"</f>
        <v>48.0510</v>
      </c>
      <c r="B1331" t="s">
        <v>2762</v>
      </c>
      <c r="C1331" s="8" t="s">
        <v>2763</v>
      </c>
      <c r="D1331" t="s">
        <v>250</v>
      </c>
      <c r="E1331" t="s">
        <v>251</v>
      </c>
      <c r="F1331" t="str">
        <f>"48.0510"</f>
        <v>48.0510</v>
      </c>
      <c r="G1331" s="8" t="s">
        <v>2763</v>
      </c>
    </row>
    <row r="1332" spans="1:7" x14ac:dyDescent="0.35">
      <c r="A1332" t="str">
        <f>"48.0511"</f>
        <v>48.0511</v>
      </c>
      <c r="B1332" t="s">
        <v>2764</v>
      </c>
      <c r="C1332" s="8" t="s">
        <v>2765</v>
      </c>
      <c r="D1332" t="s">
        <v>250</v>
      </c>
      <c r="E1332" t="s">
        <v>251</v>
      </c>
      <c r="F1332" t="str">
        <f>"48.0511"</f>
        <v>48.0511</v>
      </c>
      <c r="G1332" s="8" t="s">
        <v>2765</v>
      </c>
    </row>
    <row r="1333" spans="1:7" x14ac:dyDescent="0.35">
      <c r="A1333" t="str">
        <f>"48.0599"</f>
        <v>48.0599</v>
      </c>
      <c r="B1333" t="s">
        <v>2766</v>
      </c>
      <c r="C1333" s="8" t="s">
        <v>2767</v>
      </c>
      <c r="D1333" t="s">
        <v>250</v>
      </c>
      <c r="E1333" t="s">
        <v>251</v>
      </c>
      <c r="F1333" t="str">
        <f>"48.0599"</f>
        <v>48.0599</v>
      </c>
      <c r="G1333" s="8" t="s">
        <v>2767</v>
      </c>
    </row>
    <row r="1334" spans="1:7" x14ac:dyDescent="0.35">
      <c r="A1334" t="str">
        <f>"48.0701"</f>
        <v>48.0701</v>
      </c>
      <c r="B1334" t="s">
        <v>2768</v>
      </c>
      <c r="C1334" s="8" t="s">
        <v>2769</v>
      </c>
      <c r="D1334" t="s">
        <v>250</v>
      </c>
      <c r="E1334" t="s">
        <v>251</v>
      </c>
      <c r="F1334" t="str">
        <f>"48.0701"</f>
        <v>48.0701</v>
      </c>
      <c r="G1334" s="8" t="s">
        <v>2769</v>
      </c>
    </row>
    <row r="1335" spans="1:7" x14ac:dyDescent="0.35">
      <c r="A1335" t="str">
        <f>"48.0702"</f>
        <v>48.0702</v>
      </c>
      <c r="B1335" t="s">
        <v>2770</v>
      </c>
      <c r="C1335" s="8" t="s">
        <v>2771</v>
      </c>
      <c r="D1335" t="s">
        <v>250</v>
      </c>
      <c r="E1335" t="s">
        <v>251</v>
      </c>
      <c r="F1335" t="str">
        <f>"48.0702"</f>
        <v>48.0702</v>
      </c>
      <c r="G1335" s="8" t="s">
        <v>2771</v>
      </c>
    </row>
    <row r="1336" spans="1:7" x14ac:dyDescent="0.35">
      <c r="A1336" t="str">
        <f>"48.0703"</f>
        <v>48.0703</v>
      </c>
      <c r="B1336" t="s">
        <v>2772</v>
      </c>
      <c r="C1336" s="8" t="s">
        <v>2773</v>
      </c>
      <c r="D1336" t="s">
        <v>250</v>
      </c>
      <c r="E1336" t="s">
        <v>251</v>
      </c>
      <c r="F1336" t="str">
        <f>"48.0703"</f>
        <v>48.0703</v>
      </c>
      <c r="G1336" s="8" t="s">
        <v>2773</v>
      </c>
    </row>
    <row r="1337" spans="1:7" x14ac:dyDescent="0.35">
      <c r="D1337" t="s">
        <v>275</v>
      </c>
      <c r="E1337" t="s">
        <v>251</v>
      </c>
      <c r="F1337" t="str">
        <f>"48.0704"</f>
        <v>48.0704</v>
      </c>
      <c r="G1337" s="8" t="s">
        <v>2774</v>
      </c>
    </row>
    <row r="1338" spans="1:7" x14ac:dyDescent="0.35">
      <c r="A1338" t="str">
        <f>"48.0799"</f>
        <v>48.0799</v>
      </c>
      <c r="B1338" t="s">
        <v>2775</v>
      </c>
      <c r="C1338" s="8" t="s">
        <v>2776</v>
      </c>
      <c r="D1338" t="s">
        <v>250</v>
      </c>
      <c r="E1338" t="s">
        <v>251</v>
      </c>
      <c r="F1338" t="str">
        <f>"48.0799"</f>
        <v>48.0799</v>
      </c>
      <c r="G1338" s="8" t="s">
        <v>2776</v>
      </c>
    </row>
    <row r="1339" spans="1:7" x14ac:dyDescent="0.35">
      <c r="A1339" t="str">
        <f>"48.0801"</f>
        <v>48.0801</v>
      </c>
      <c r="B1339" t="s">
        <v>2777</v>
      </c>
      <c r="C1339" s="8" t="s">
        <v>2778</v>
      </c>
      <c r="D1339" t="s">
        <v>250</v>
      </c>
      <c r="E1339" t="s">
        <v>251</v>
      </c>
      <c r="F1339" t="str">
        <f>"48.0801"</f>
        <v>48.0801</v>
      </c>
      <c r="G1339" s="8" t="s">
        <v>2778</v>
      </c>
    </row>
    <row r="1340" spans="1:7" x14ac:dyDescent="0.35">
      <c r="A1340" t="str">
        <f>"48.9999"</f>
        <v>48.9999</v>
      </c>
      <c r="B1340" t="s">
        <v>2779</v>
      </c>
      <c r="C1340" s="8" t="s">
        <v>2780</v>
      </c>
      <c r="D1340" t="s">
        <v>250</v>
      </c>
      <c r="E1340" t="s">
        <v>251</v>
      </c>
      <c r="F1340" t="str">
        <f>"48.9999"</f>
        <v>48.9999</v>
      </c>
      <c r="G1340" s="8" t="s">
        <v>2780</v>
      </c>
    </row>
    <row r="1341" spans="1:7" ht="29" x14ac:dyDescent="0.35">
      <c r="A1341" t="str">
        <f>"49.0101"</f>
        <v>49.0101</v>
      </c>
      <c r="B1341" t="s">
        <v>2781</v>
      </c>
      <c r="C1341" s="8" t="s">
        <v>2782</v>
      </c>
      <c r="D1341" t="s">
        <v>250</v>
      </c>
      <c r="E1341" t="s">
        <v>251</v>
      </c>
      <c r="F1341" t="str">
        <f>"49.0101"</f>
        <v>49.0101</v>
      </c>
      <c r="G1341" s="8" t="s">
        <v>2782</v>
      </c>
    </row>
    <row r="1342" spans="1:7" ht="29" x14ac:dyDescent="0.35">
      <c r="A1342" t="str">
        <f>"49.0102"</f>
        <v>49.0102</v>
      </c>
      <c r="B1342" t="s">
        <v>2783</v>
      </c>
      <c r="C1342" s="8" t="s">
        <v>2784</v>
      </c>
      <c r="D1342" t="s">
        <v>250</v>
      </c>
      <c r="E1342" t="s">
        <v>251</v>
      </c>
      <c r="F1342" t="str">
        <f>"49.0102"</f>
        <v>49.0102</v>
      </c>
      <c r="G1342" s="8" t="s">
        <v>2784</v>
      </c>
    </row>
    <row r="1343" spans="1:7" ht="29" x14ac:dyDescent="0.35">
      <c r="A1343" t="str">
        <f>"49.0104"</f>
        <v>49.0104</v>
      </c>
      <c r="B1343" t="s">
        <v>2785</v>
      </c>
      <c r="C1343" s="8" t="s">
        <v>2786</v>
      </c>
      <c r="D1343" t="s">
        <v>250</v>
      </c>
      <c r="E1343" t="s">
        <v>251</v>
      </c>
      <c r="F1343" t="str">
        <f>"49.0104"</f>
        <v>49.0104</v>
      </c>
      <c r="G1343" s="8" t="s">
        <v>2786</v>
      </c>
    </row>
    <row r="1344" spans="1:7" x14ac:dyDescent="0.35">
      <c r="A1344" t="str">
        <f>"49.0105"</f>
        <v>49.0105</v>
      </c>
      <c r="B1344" t="s">
        <v>2787</v>
      </c>
      <c r="C1344" s="8" t="s">
        <v>2788</v>
      </c>
      <c r="D1344" t="s">
        <v>250</v>
      </c>
      <c r="E1344" t="s">
        <v>251</v>
      </c>
      <c r="F1344" t="str">
        <f>"49.0105"</f>
        <v>49.0105</v>
      </c>
      <c r="G1344" s="8" t="s">
        <v>2788</v>
      </c>
    </row>
    <row r="1345" spans="1:7" x14ac:dyDescent="0.35">
      <c r="A1345" t="str">
        <f>"49.0106"</f>
        <v>49.0106</v>
      </c>
      <c r="B1345" t="s">
        <v>2789</v>
      </c>
      <c r="C1345" s="8" t="s">
        <v>2790</v>
      </c>
      <c r="D1345" t="s">
        <v>250</v>
      </c>
      <c r="E1345" t="s">
        <v>251</v>
      </c>
      <c r="F1345" t="str">
        <f>"49.0106"</f>
        <v>49.0106</v>
      </c>
      <c r="G1345" s="8" t="s">
        <v>2790</v>
      </c>
    </row>
    <row r="1346" spans="1:7" x14ac:dyDescent="0.35">
      <c r="A1346" t="str">
        <f>"49.0108"</f>
        <v>49.0108</v>
      </c>
      <c r="B1346" t="s">
        <v>2791</v>
      </c>
      <c r="C1346" s="8" t="s">
        <v>2792</v>
      </c>
      <c r="D1346" t="s">
        <v>250</v>
      </c>
      <c r="E1346" t="s">
        <v>251</v>
      </c>
      <c r="F1346" t="str">
        <f>"49.0108"</f>
        <v>49.0108</v>
      </c>
      <c r="G1346" s="8" t="s">
        <v>2792</v>
      </c>
    </row>
    <row r="1347" spans="1:7" x14ac:dyDescent="0.35">
      <c r="A1347" t="str">
        <f>"49.0199"</f>
        <v>49.0199</v>
      </c>
      <c r="B1347" t="s">
        <v>2793</v>
      </c>
      <c r="C1347" s="8" t="s">
        <v>2794</v>
      </c>
      <c r="D1347" t="s">
        <v>250</v>
      </c>
      <c r="E1347" t="s">
        <v>251</v>
      </c>
      <c r="F1347" t="str">
        <f>"49.0199"</f>
        <v>49.0199</v>
      </c>
      <c r="G1347" s="8" t="s">
        <v>2794</v>
      </c>
    </row>
    <row r="1348" spans="1:7" ht="43.5" x14ac:dyDescent="0.35">
      <c r="A1348" t="str">
        <f>"49.0202"</f>
        <v>49.0202</v>
      </c>
      <c r="B1348" t="s">
        <v>2795</v>
      </c>
      <c r="C1348" s="8" t="s">
        <v>2796</v>
      </c>
      <c r="D1348" t="s">
        <v>250</v>
      </c>
      <c r="E1348" t="s">
        <v>251</v>
      </c>
      <c r="F1348" t="str">
        <f>"49.0202"</f>
        <v>49.0202</v>
      </c>
      <c r="G1348" s="8" t="s">
        <v>2796</v>
      </c>
    </row>
    <row r="1349" spans="1:7" ht="29" x14ac:dyDescent="0.35">
      <c r="A1349" t="str">
        <f>"49.0205"</f>
        <v>49.0205</v>
      </c>
      <c r="B1349" t="s">
        <v>2797</v>
      </c>
      <c r="C1349" s="8" t="s">
        <v>2798</v>
      </c>
      <c r="D1349" t="s">
        <v>250</v>
      </c>
      <c r="E1349" t="s">
        <v>251</v>
      </c>
      <c r="F1349" t="str">
        <f>"49.0205"</f>
        <v>49.0205</v>
      </c>
      <c r="G1349" s="8" t="s">
        <v>2798</v>
      </c>
    </row>
    <row r="1350" spans="1:7" x14ac:dyDescent="0.35">
      <c r="A1350" t="str">
        <f>"49.0206"</f>
        <v>49.0206</v>
      </c>
      <c r="B1350" t="s">
        <v>2799</v>
      </c>
      <c r="C1350" s="8" t="s">
        <v>2800</v>
      </c>
      <c r="D1350" t="s">
        <v>250</v>
      </c>
      <c r="E1350" t="s">
        <v>264</v>
      </c>
      <c r="F1350" t="str">
        <f>"49.0206"</f>
        <v>49.0206</v>
      </c>
      <c r="G1350" s="8" t="s">
        <v>2801</v>
      </c>
    </row>
    <row r="1351" spans="1:7" x14ac:dyDescent="0.35">
      <c r="A1351" t="str">
        <f>"49.0207"</f>
        <v>49.0207</v>
      </c>
      <c r="B1351" t="s">
        <v>2802</v>
      </c>
      <c r="C1351" s="8" t="s">
        <v>2803</v>
      </c>
      <c r="D1351" t="s">
        <v>250</v>
      </c>
      <c r="E1351" t="s">
        <v>251</v>
      </c>
      <c r="F1351" t="str">
        <f>"49.0207"</f>
        <v>49.0207</v>
      </c>
      <c r="G1351" s="8" t="s">
        <v>2803</v>
      </c>
    </row>
    <row r="1352" spans="1:7" x14ac:dyDescent="0.35">
      <c r="A1352" t="str">
        <f>"49.0208"</f>
        <v>49.0208</v>
      </c>
      <c r="B1352" t="s">
        <v>2804</v>
      </c>
      <c r="C1352" s="8" t="s">
        <v>2805</v>
      </c>
      <c r="D1352" t="s">
        <v>250</v>
      </c>
      <c r="E1352" t="s">
        <v>251</v>
      </c>
      <c r="F1352" t="str">
        <f>"49.0208"</f>
        <v>49.0208</v>
      </c>
      <c r="G1352" s="8" t="s">
        <v>2805</v>
      </c>
    </row>
    <row r="1353" spans="1:7" x14ac:dyDescent="0.35">
      <c r="D1353" t="s">
        <v>275</v>
      </c>
      <c r="E1353" t="s">
        <v>251</v>
      </c>
      <c r="F1353" t="str">
        <f>"49.0209"</f>
        <v>49.0209</v>
      </c>
      <c r="G1353" s="8" t="s">
        <v>2806</v>
      </c>
    </row>
    <row r="1354" spans="1:7" x14ac:dyDescent="0.35">
      <c r="A1354" t="str">
        <f>"49.0299"</f>
        <v>49.0299</v>
      </c>
      <c r="B1354" t="s">
        <v>2807</v>
      </c>
      <c r="C1354" s="8" t="s">
        <v>2808</v>
      </c>
      <c r="D1354" t="s">
        <v>250</v>
      </c>
      <c r="E1354" t="s">
        <v>251</v>
      </c>
      <c r="F1354" t="str">
        <f>"49.0299"</f>
        <v>49.0299</v>
      </c>
      <c r="G1354" s="8" t="s">
        <v>2808</v>
      </c>
    </row>
    <row r="1355" spans="1:7" x14ac:dyDescent="0.35">
      <c r="A1355" t="str">
        <f>"49.0303"</f>
        <v>49.0303</v>
      </c>
      <c r="B1355" t="s">
        <v>2809</v>
      </c>
      <c r="C1355" s="8" t="s">
        <v>2810</v>
      </c>
      <c r="D1355" t="s">
        <v>250</v>
      </c>
      <c r="E1355" t="s">
        <v>251</v>
      </c>
      <c r="F1355" t="str">
        <f>"49.0303"</f>
        <v>49.0303</v>
      </c>
      <c r="G1355" s="8" t="s">
        <v>2810</v>
      </c>
    </row>
    <row r="1356" spans="1:7" x14ac:dyDescent="0.35">
      <c r="A1356" t="str">
        <f>"49.0304"</f>
        <v>49.0304</v>
      </c>
      <c r="B1356" t="s">
        <v>2811</v>
      </c>
      <c r="C1356" s="8" t="s">
        <v>2812</v>
      </c>
      <c r="D1356" t="s">
        <v>250</v>
      </c>
      <c r="E1356" t="s">
        <v>251</v>
      </c>
      <c r="F1356" t="str">
        <f>"49.0304"</f>
        <v>49.0304</v>
      </c>
      <c r="G1356" s="8" t="s">
        <v>2812</v>
      </c>
    </row>
    <row r="1357" spans="1:7" x14ac:dyDescent="0.35">
      <c r="A1357" t="str">
        <f>"49.0309"</f>
        <v>49.0309</v>
      </c>
      <c r="B1357" t="s">
        <v>2813</v>
      </c>
      <c r="C1357" s="8" t="s">
        <v>2814</v>
      </c>
      <c r="D1357" t="s">
        <v>250</v>
      </c>
      <c r="E1357" t="s">
        <v>251</v>
      </c>
      <c r="F1357" t="str">
        <f>"49.0309"</f>
        <v>49.0309</v>
      </c>
      <c r="G1357" s="8" t="s">
        <v>2814</v>
      </c>
    </row>
    <row r="1358" spans="1:7" x14ac:dyDescent="0.35">
      <c r="A1358" t="str">
        <f>"49.0399"</f>
        <v>49.0399</v>
      </c>
      <c r="B1358" t="s">
        <v>2815</v>
      </c>
      <c r="C1358" s="8" t="s">
        <v>2816</v>
      </c>
      <c r="D1358" t="s">
        <v>250</v>
      </c>
      <c r="E1358" t="s">
        <v>251</v>
      </c>
      <c r="F1358" t="str">
        <f>"49.0399"</f>
        <v>49.0399</v>
      </c>
      <c r="G1358" s="8" t="s">
        <v>2816</v>
      </c>
    </row>
    <row r="1359" spans="1:7" ht="29" x14ac:dyDescent="0.35">
      <c r="A1359" t="str">
        <f>"49.9999"</f>
        <v>49.9999</v>
      </c>
      <c r="B1359" t="s">
        <v>2817</v>
      </c>
      <c r="C1359" s="8" t="s">
        <v>2818</v>
      </c>
      <c r="D1359" t="s">
        <v>250</v>
      </c>
      <c r="E1359" t="s">
        <v>251</v>
      </c>
      <c r="F1359" t="str">
        <f>"49.9999"</f>
        <v>49.9999</v>
      </c>
      <c r="G1359" s="8" t="s">
        <v>2818</v>
      </c>
    </row>
    <row r="1360" spans="1:7" x14ac:dyDescent="0.35">
      <c r="A1360" t="str">
        <f>"50.0101"</f>
        <v>50.0101</v>
      </c>
      <c r="B1360" t="s">
        <v>2819</v>
      </c>
      <c r="C1360" s="8" t="s">
        <v>2820</v>
      </c>
      <c r="D1360" t="s">
        <v>250</v>
      </c>
      <c r="E1360" t="s">
        <v>251</v>
      </c>
      <c r="F1360" t="str">
        <f>"50.0101"</f>
        <v>50.0101</v>
      </c>
      <c r="G1360" s="8" t="s">
        <v>2820</v>
      </c>
    </row>
    <row r="1361" spans="1:7" x14ac:dyDescent="0.35">
      <c r="A1361" t="str">
        <f>"50.0102"</f>
        <v>50.0102</v>
      </c>
      <c r="B1361" t="s">
        <v>2821</v>
      </c>
      <c r="C1361" s="8" t="s">
        <v>2822</v>
      </c>
      <c r="D1361" t="s">
        <v>250</v>
      </c>
      <c r="E1361" t="s">
        <v>251</v>
      </c>
      <c r="F1361" t="str">
        <f>"50.0102"</f>
        <v>50.0102</v>
      </c>
      <c r="G1361" s="8" t="s">
        <v>2822</v>
      </c>
    </row>
    <row r="1362" spans="1:7" x14ac:dyDescent="0.35">
      <c r="A1362" t="str">
        <f>"50.0201"</f>
        <v>50.0201</v>
      </c>
      <c r="B1362" t="s">
        <v>2823</v>
      </c>
      <c r="C1362" s="8" t="s">
        <v>2824</v>
      </c>
      <c r="D1362" t="s">
        <v>250</v>
      </c>
      <c r="E1362" t="s">
        <v>251</v>
      </c>
      <c r="F1362" t="str">
        <f>"50.0201"</f>
        <v>50.0201</v>
      </c>
      <c r="G1362" s="8" t="s">
        <v>2824</v>
      </c>
    </row>
    <row r="1363" spans="1:7" x14ac:dyDescent="0.35">
      <c r="A1363" t="str">
        <f>"50.0301"</f>
        <v>50.0301</v>
      </c>
      <c r="B1363" t="s">
        <v>2825</v>
      </c>
      <c r="C1363" s="8" t="s">
        <v>2826</v>
      </c>
      <c r="D1363" t="s">
        <v>250</v>
      </c>
      <c r="E1363" t="s">
        <v>251</v>
      </c>
      <c r="F1363" t="str">
        <f>"50.0301"</f>
        <v>50.0301</v>
      </c>
      <c r="G1363" s="8" t="s">
        <v>2826</v>
      </c>
    </row>
    <row r="1364" spans="1:7" x14ac:dyDescent="0.35">
      <c r="A1364" t="str">
        <f>"50.0302"</f>
        <v>50.0302</v>
      </c>
      <c r="B1364" t="s">
        <v>2827</v>
      </c>
      <c r="C1364" s="8" t="s">
        <v>2828</v>
      </c>
      <c r="D1364" t="s">
        <v>250</v>
      </c>
      <c r="E1364" t="s">
        <v>251</v>
      </c>
      <c r="F1364" t="str">
        <f>"50.0302"</f>
        <v>50.0302</v>
      </c>
      <c r="G1364" s="8" t="s">
        <v>2828</v>
      </c>
    </row>
    <row r="1365" spans="1:7" x14ac:dyDescent="0.35">
      <c r="A1365" t="str">
        <f>"50.0399"</f>
        <v>50.0399</v>
      </c>
      <c r="B1365" t="s">
        <v>2829</v>
      </c>
      <c r="C1365" s="8" t="s">
        <v>2830</v>
      </c>
      <c r="D1365" t="s">
        <v>250</v>
      </c>
      <c r="E1365" t="s">
        <v>251</v>
      </c>
      <c r="F1365" t="str">
        <f>"50.0399"</f>
        <v>50.0399</v>
      </c>
      <c r="G1365" s="8" t="s">
        <v>2830</v>
      </c>
    </row>
    <row r="1366" spans="1:7" ht="29" x14ac:dyDescent="0.35">
      <c r="A1366" t="str">
        <f>"50.0401"</f>
        <v>50.0401</v>
      </c>
      <c r="B1366" t="s">
        <v>2831</v>
      </c>
      <c r="C1366" s="8" t="s">
        <v>2832</v>
      </c>
      <c r="D1366" t="s">
        <v>250</v>
      </c>
      <c r="E1366" t="s">
        <v>251</v>
      </c>
      <c r="F1366" t="str">
        <f>"50.0401"</f>
        <v>50.0401</v>
      </c>
      <c r="G1366" s="8" t="s">
        <v>2832</v>
      </c>
    </row>
    <row r="1367" spans="1:7" x14ac:dyDescent="0.35">
      <c r="A1367" t="str">
        <f>"50.0402"</f>
        <v>50.0402</v>
      </c>
      <c r="B1367" t="s">
        <v>2833</v>
      </c>
      <c r="C1367" s="8" t="s">
        <v>2834</v>
      </c>
      <c r="D1367" t="s">
        <v>250</v>
      </c>
      <c r="E1367" t="s">
        <v>251</v>
      </c>
      <c r="F1367" t="str">
        <f>"50.0402"</f>
        <v>50.0402</v>
      </c>
      <c r="G1367" s="8" t="s">
        <v>2834</v>
      </c>
    </row>
    <row r="1368" spans="1:7" x14ac:dyDescent="0.35">
      <c r="A1368" t="str">
        <f>"50.0404"</f>
        <v>50.0404</v>
      </c>
      <c r="B1368" t="s">
        <v>2835</v>
      </c>
      <c r="C1368" s="8" t="s">
        <v>2836</v>
      </c>
      <c r="D1368" t="s">
        <v>250</v>
      </c>
      <c r="E1368" t="s">
        <v>251</v>
      </c>
      <c r="F1368" t="str">
        <f>"50.0404"</f>
        <v>50.0404</v>
      </c>
      <c r="G1368" s="8" t="s">
        <v>2836</v>
      </c>
    </row>
    <row r="1369" spans="1:7" x14ac:dyDescent="0.35">
      <c r="A1369" t="str">
        <f>"50.0406"</f>
        <v>50.0406</v>
      </c>
      <c r="B1369" t="s">
        <v>2837</v>
      </c>
      <c r="C1369" s="8" t="s">
        <v>2838</v>
      </c>
      <c r="D1369" t="s">
        <v>250</v>
      </c>
      <c r="E1369" t="s">
        <v>251</v>
      </c>
      <c r="F1369" t="str">
        <f>"50.0406"</f>
        <v>50.0406</v>
      </c>
      <c r="G1369" s="8" t="s">
        <v>2838</v>
      </c>
    </row>
    <row r="1370" spans="1:7" x14ac:dyDescent="0.35">
      <c r="A1370" t="str">
        <f>"50.0407"</f>
        <v>50.0407</v>
      </c>
      <c r="B1370" t="s">
        <v>2839</v>
      </c>
      <c r="C1370" s="8" t="s">
        <v>2840</v>
      </c>
      <c r="D1370" t="s">
        <v>250</v>
      </c>
      <c r="E1370" t="s">
        <v>251</v>
      </c>
      <c r="F1370" t="str">
        <f>"50.0407"</f>
        <v>50.0407</v>
      </c>
      <c r="G1370" s="8" t="s">
        <v>2840</v>
      </c>
    </row>
    <row r="1371" spans="1:7" x14ac:dyDescent="0.35">
      <c r="A1371" t="str">
        <f>"50.0408"</f>
        <v>50.0408</v>
      </c>
      <c r="B1371" t="s">
        <v>2841</v>
      </c>
      <c r="C1371" s="8" t="s">
        <v>2842</v>
      </c>
      <c r="D1371" t="s">
        <v>250</v>
      </c>
      <c r="E1371" t="s">
        <v>251</v>
      </c>
      <c r="F1371" t="str">
        <f>"50.0408"</f>
        <v>50.0408</v>
      </c>
      <c r="G1371" s="8" t="s">
        <v>2842</v>
      </c>
    </row>
    <row r="1372" spans="1:7" x14ac:dyDescent="0.35">
      <c r="A1372" t="str">
        <f>"50.0409"</f>
        <v>50.0409</v>
      </c>
      <c r="B1372" t="s">
        <v>2843</v>
      </c>
      <c r="C1372" s="8" t="s">
        <v>2844</v>
      </c>
      <c r="D1372" t="s">
        <v>250</v>
      </c>
      <c r="E1372" t="s">
        <v>251</v>
      </c>
      <c r="F1372" t="str">
        <f>"50.0409"</f>
        <v>50.0409</v>
      </c>
      <c r="G1372" s="8" t="s">
        <v>2844</v>
      </c>
    </row>
    <row r="1373" spans="1:7" x14ac:dyDescent="0.35">
      <c r="A1373" t="str">
        <f>"50.0410"</f>
        <v>50.0410</v>
      </c>
      <c r="B1373" t="s">
        <v>2845</v>
      </c>
      <c r="C1373" s="8" t="s">
        <v>2846</v>
      </c>
      <c r="D1373" t="s">
        <v>250</v>
      </c>
      <c r="E1373" t="s">
        <v>251</v>
      </c>
      <c r="F1373" t="str">
        <f>"50.0410"</f>
        <v>50.0410</v>
      </c>
      <c r="G1373" s="8" t="s">
        <v>2846</v>
      </c>
    </row>
    <row r="1374" spans="1:7" x14ac:dyDescent="0.35">
      <c r="A1374" t="str">
        <f>"50.0411"</f>
        <v>50.0411</v>
      </c>
      <c r="B1374" t="s">
        <v>2847</v>
      </c>
      <c r="C1374" s="8" t="s">
        <v>2848</v>
      </c>
      <c r="D1374" t="s">
        <v>250</v>
      </c>
      <c r="E1374" t="s">
        <v>251</v>
      </c>
      <c r="F1374" t="str">
        <f>"50.0411"</f>
        <v>50.0411</v>
      </c>
      <c r="G1374" s="8" t="s">
        <v>2848</v>
      </c>
    </row>
    <row r="1375" spans="1:7" x14ac:dyDescent="0.35">
      <c r="A1375" t="str">
        <f>"50.0499"</f>
        <v>50.0499</v>
      </c>
      <c r="B1375" t="s">
        <v>2849</v>
      </c>
      <c r="C1375" s="8" t="s">
        <v>2850</v>
      </c>
      <c r="D1375" t="s">
        <v>250</v>
      </c>
      <c r="E1375" t="s">
        <v>251</v>
      </c>
      <c r="F1375" t="str">
        <f>"50.0499"</f>
        <v>50.0499</v>
      </c>
      <c r="G1375" s="8" t="s">
        <v>2850</v>
      </c>
    </row>
    <row r="1376" spans="1:7" ht="29" x14ac:dyDescent="0.35">
      <c r="A1376" t="str">
        <f>"50.0501"</f>
        <v>50.0501</v>
      </c>
      <c r="B1376" t="s">
        <v>2851</v>
      </c>
      <c r="C1376" s="8" t="s">
        <v>2852</v>
      </c>
      <c r="D1376" t="s">
        <v>250</v>
      </c>
      <c r="E1376" t="s">
        <v>251</v>
      </c>
      <c r="F1376" t="str">
        <f>"50.0501"</f>
        <v>50.0501</v>
      </c>
      <c r="G1376" s="8" t="s">
        <v>2852</v>
      </c>
    </row>
    <row r="1377" spans="1:7" ht="29" x14ac:dyDescent="0.35">
      <c r="A1377" t="str">
        <f>"50.0502"</f>
        <v>50.0502</v>
      </c>
      <c r="B1377" t="s">
        <v>2853</v>
      </c>
      <c r="C1377" s="8" t="s">
        <v>2854</v>
      </c>
      <c r="D1377" t="s">
        <v>250</v>
      </c>
      <c r="E1377" t="s">
        <v>251</v>
      </c>
      <c r="F1377" t="str">
        <f>"50.0502"</f>
        <v>50.0502</v>
      </c>
      <c r="G1377" s="8" t="s">
        <v>2854</v>
      </c>
    </row>
    <row r="1378" spans="1:7" x14ac:dyDescent="0.35">
      <c r="A1378" t="str">
        <f>"50.0504"</f>
        <v>50.0504</v>
      </c>
      <c r="B1378" t="s">
        <v>2855</v>
      </c>
      <c r="C1378" s="8" t="s">
        <v>2856</v>
      </c>
      <c r="D1378" t="s">
        <v>250</v>
      </c>
      <c r="E1378" t="s">
        <v>251</v>
      </c>
      <c r="F1378" t="str">
        <f>"50.0504"</f>
        <v>50.0504</v>
      </c>
      <c r="G1378" s="8" t="s">
        <v>2856</v>
      </c>
    </row>
    <row r="1379" spans="1:7" x14ac:dyDescent="0.35">
      <c r="A1379" t="str">
        <f>"50.0505"</f>
        <v>50.0505</v>
      </c>
      <c r="B1379" t="s">
        <v>2857</v>
      </c>
      <c r="C1379" s="8" t="s">
        <v>2858</v>
      </c>
      <c r="D1379" t="s">
        <v>250</v>
      </c>
      <c r="E1379" t="s">
        <v>251</v>
      </c>
      <c r="F1379" t="str">
        <f>"50.0505"</f>
        <v>50.0505</v>
      </c>
      <c r="G1379" s="8" t="s">
        <v>2858</v>
      </c>
    </row>
    <row r="1380" spans="1:7" x14ac:dyDescent="0.35">
      <c r="A1380" t="str">
        <f>"50.0506"</f>
        <v>50.0506</v>
      </c>
      <c r="B1380" t="s">
        <v>2859</v>
      </c>
      <c r="C1380" s="8" t="s">
        <v>2860</v>
      </c>
      <c r="D1380" t="s">
        <v>250</v>
      </c>
      <c r="E1380" t="s">
        <v>251</v>
      </c>
      <c r="F1380" t="str">
        <f>"50.0506"</f>
        <v>50.0506</v>
      </c>
      <c r="G1380" s="8" t="s">
        <v>2860</v>
      </c>
    </row>
    <row r="1381" spans="1:7" x14ac:dyDescent="0.35">
      <c r="A1381" t="str">
        <f>"50.0507"</f>
        <v>50.0507</v>
      </c>
      <c r="B1381" t="s">
        <v>2861</v>
      </c>
      <c r="C1381" s="8" t="s">
        <v>2862</v>
      </c>
      <c r="D1381" t="s">
        <v>250</v>
      </c>
      <c r="E1381" t="s">
        <v>251</v>
      </c>
      <c r="F1381" t="str">
        <f>"50.0507"</f>
        <v>50.0507</v>
      </c>
      <c r="G1381" s="8" t="s">
        <v>2862</v>
      </c>
    </row>
    <row r="1382" spans="1:7" x14ac:dyDescent="0.35">
      <c r="A1382" t="str">
        <f>"50.0509"</f>
        <v>50.0509</v>
      </c>
      <c r="B1382" t="s">
        <v>2863</v>
      </c>
      <c r="C1382" s="8" t="s">
        <v>2864</v>
      </c>
      <c r="D1382" t="s">
        <v>250</v>
      </c>
      <c r="E1382" t="s">
        <v>251</v>
      </c>
      <c r="F1382" t="str">
        <f>"50.0509"</f>
        <v>50.0509</v>
      </c>
      <c r="G1382" s="8" t="s">
        <v>2864</v>
      </c>
    </row>
    <row r="1383" spans="1:7" x14ac:dyDescent="0.35">
      <c r="A1383" t="str">
        <f>"50.0510"</f>
        <v>50.0510</v>
      </c>
      <c r="B1383" t="s">
        <v>2865</v>
      </c>
      <c r="C1383" s="8" t="s">
        <v>2866</v>
      </c>
      <c r="D1383" t="s">
        <v>250</v>
      </c>
      <c r="E1383" t="s">
        <v>251</v>
      </c>
      <c r="F1383" t="str">
        <f>"50.0510"</f>
        <v>50.0510</v>
      </c>
      <c r="G1383" s="8" t="s">
        <v>2866</v>
      </c>
    </row>
    <row r="1384" spans="1:7" x14ac:dyDescent="0.35">
      <c r="D1384" t="s">
        <v>275</v>
      </c>
      <c r="E1384" t="s">
        <v>251</v>
      </c>
      <c r="F1384" t="str">
        <f>"50.0511"</f>
        <v>50.0511</v>
      </c>
      <c r="G1384" s="8" t="s">
        <v>2867</v>
      </c>
    </row>
    <row r="1385" spans="1:7" x14ac:dyDescent="0.35">
      <c r="D1385" t="s">
        <v>275</v>
      </c>
      <c r="E1385" t="s">
        <v>251</v>
      </c>
      <c r="F1385" t="str">
        <f>"50.0512"</f>
        <v>50.0512</v>
      </c>
      <c r="G1385" s="8" t="s">
        <v>2868</v>
      </c>
    </row>
    <row r="1386" spans="1:7" ht="29" x14ac:dyDescent="0.35">
      <c r="A1386" t="str">
        <f>"50.0599"</f>
        <v>50.0599</v>
      </c>
      <c r="B1386" t="s">
        <v>2869</v>
      </c>
      <c r="C1386" s="8" t="s">
        <v>2870</v>
      </c>
      <c r="D1386" t="s">
        <v>250</v>
      </c>
      <c r="E1386" t="s">
        <v>251</v>
      </c>
      <c r="F1386" t="str">
        <f>"50.0599"</f>
        <v>50.0599</v>
      </c>
      <c r="G1386" s="8" t="s">
        <v>2870</v>
      </c>
    </row>
    <row r="1387" spans="1:7" x14ac:dyDescent="0.35">
      <c r="A1387" t="str">
        <f>"50.0601"</f>
        <v>50.0601</v>
      </c>
      <c r="B1387" t="s">
        <v>2871</v>
      </c>
      <c r="C1387" s="8" t="s">
        <v>2872</v>
      </c>
      <c r="D1387" t="s">
        <v>250</v>
      </c>
      <c r="E1387" t="s">
        <v>264</v>
      </c>
      <c r="F1387" t="str">
        <f>"50.0601"</f>
        <v>50.0601</v>
      </c>
      <c r="G1387" s="8" t="s">
        <v>2873</v>
      </c>
    </row>
    <row r="1388" spans="1:7" ht="29" x14ac:dyDescent="0.35">
      <c r="A1388" t="str">
        <f>"50.0602"</f>
        <v>50.0602</v>
      </c>
      <c r="B1388" t="s">
        <v>2874</v>
      </c>
      <c r="C1388" s="8" t="s">
        <v>2875</v>
      </c>
      <c r="D1388" t="s">
        <v>250</v>
      </c>
      <c r="E1388" t="s">
        <v>251</v>
      </c>
      <c r="F1388" t="str">
        <f>"50.0602"</f>
        <v>50.0602</v>
      </c>
      <c r="G1388" s="8" t="s">
        <v>2875</v>
      </c>
    </row>
    <row r="1389" spans="1:7" x14ac:dyDescent="0.35">
      <c r="A1389" t="str">
        <f>"50.0605"</f>
        <v>50.0605</v>
      </c>
      <c r="B1389" t="s">
        <v>2876</v>
      </c>
      <c r="C1389" s="8" t="s">
        <v>2877</v>
      </c>
      <c r="D1389" t="s">
        <v>250</v>
      </c>
      <c r="E1389" t="s">
        <v>251</v>
      </c>
      <c r="F1389" t="str">
        <f>"50.0605"</f>
        <v>50.0605</v>
      </c>
      <c r="G1389" s="8" t="s">
        <v>2877</v>
      </c>
    </row>
    <row r="1390" spans="1:7" x14ac:dyDescent="0.35">
      <c r="A1390" t="str">
        <f>"50.0607"</f>
        <v>50.0607</v>
      </c>
      <c r="B1390" t="s">
        <v>2878</v>
      </c>
      <c r="C1390" s="8" t="s">
        <v>2879</v>
      </c>
      <c r="D1390" t="s">
        <v>250</v>
      </c>
      <c r="E1390" t="s">
        <v>251</v>
      </c>
      <c r="F1390" t="str">
        <f>"50.0607"</f>
        <v>50.0607</v>
      </c>
      <c r="G1390" s="8" t="s">
        <v>2879</v>
      </c>
    </row>
    <row r="1391" spans="1:7" x14ac:dyDescent="0.35">
      <c r="A1391" t="str">
        <f>"50.0699"</f>
        <v>50.0699</v>
      </c>
      <c r="B1391" t="s">
        <v>2880</v>
      </c>
      <c r="C1391" s="8" t="s">
        <v>2881</v>
      </c>
      <c r="D1391" t="s">
        <v>250</v>
      </c>
      <c r="E1391" t="s">
        <v>251</v>
      </c>
      <c r="F1391" t="str">
        <f>"50.0699"</f>
        <v>50.0699</v>
      </c>
      <c r="G1391" s="8" t="s">
        <v>2881</v>
      </c>
    </row>
    <row r="1392" spans="1:7" x14ac:dyDescent="0.35">
      <c r="A1392" t="str">
        <f>"50.0701"</f>
        <v>50.0701</v>
      </c>
      <c r="B1392" t="s">
        <v>2882</v>
      </c>
      <c r="C1392" s="8" t="s">
        <v>2883</v>
      </c>
      <c r="D1392" t="s">
        <v>250</v>
      </c>
      <c r="E1392" t="s">
        <v>251</v>
      </c>
      <c r="F1392" t="str">
        <f>"50.0701"</f>
        <v>50.0701</v>
      </c>
      <c r="G1392" s="8" t="s">
        <v>2883</v>
      </c>
    </row>
    <row r="1393" spans="1:7" x14ac:dyDescent="0.35">
      <c r="A1393" t="str">
        <f>"50.0702"</f>
        <v>50.0702</v>
      </c>
      <c r="B1393" t="s">
        <v>2884</v>
      </c>
      <c r="C1393" s="8" t="s">
        <v>2885</v>
      </c>
      <c r="D1393" t="s">
        <v>250</v>
      </c>
      <c r="E1393" t="s">
        <v>251</v>
      </c>
      <c r="F1393" t="str">
        <f>"50.0702"</f>
        <v>50.0702</v>
      </c>
      <c r="G1393" s="8" t="s">
        <v>2885</v>
      </c>
    </row>
    <row r="1394" spans="1:7" x14ac:dyDescent="0.35">
      <c r="A1394" t="str">
        <f>"50.0703"</f>
        <v>50.0703</v>
      </c>
      <c r="B1394" t="s">
        <v>2886</v>
      </c>
      <c r="C1394" s="8" t="s">
        <v>2887</v>
      </c>
      <c r="D1394" t="s">
        <v>250</v>
      </c>
      <c r="E1394" t="s">
        <v>251</v>
      </c>
      <c r="F1394" t="str">
        <f>"50.0703"</f>
        <v>50.0703</v>
      </c>
      <c r="G1394" s="8" t="s">
        <v>2887</v>
      </c>
    </row>
    <row r="1395" spans="1:7" x14ac:dyDescent="0.35">
      <c r="A1395" t="str">
        <f>"50.0705"</f>
        <v>50.0705</v>
      </c>
      <c r="B1395" t="s">
        <v>2888</v>
      </c>
      <c r="C1395" s="8" t="s">
        <v>2889</v>
      </c>
      <c r="D1395" t="s">
        <v>250</v>
      </c>
      <c r="E1395" t="s">
        <v>251</v>
      </c>
      <c r="F1395" t="str">
        <f>"50.0705"</f>
        <v>50.0705</v>
      </c>
      <c r="G1395" s="8" t="s">
        <v>2889</v>
      </c>
    </row>
    <row r="1396" spans="1:7" x14ac:dyDescent="0.35">
      <c r="A1396" t="str">
        <f>"50.0706"</f>
        <v>50.0706</v>
      </c>
      <c r="B1396" t="s">
        <v>2890</v>
      </c>
      <c r="C1396" s="8" t="s">
        <v>2891</v>
      </c>
      <c r="D1396" t="s">
        <v>250</v>
      </c>
      <c r="E1396" t="s">
        <v>251</v>
      </c>
      <c r="F1396" t="str">
        <f>"50.0706"</f>
        <v>50.0706</v>
      </c>
      <c r="G1396" s="8" t="s">
        <v>2891</v>
      </c>
    </row>
    <row r="1397" spans="1:7" x14ac:dyDescent="0.35">
      <c r="A1397" t="str">
        <f>"50.0708"</f>
        <v>50.0708</v>
      </c>
      <c r="B1397" t="s">
        <v>2892</v>
      </c>
      <c r="C1397" s="8" t="s">
        <v>2893</v>
      </c>
      <c r="D1397" t="s">
        <v>250</v>
      </c>
      <c r="E1397" t="s">
        <v>251</v>
      </c>
      <c r="F1397" t="str">
        <f>"50.0708"</f>
        <v>50.0708</v>
      </c>
      <c r="G1397" s="8" t="s">
        <v>2893</v>
      </c>
    </row>
    <row r="1398" spans="1:7" x14ac:dyDescent="0.35">
      <c r="A1398" t="str">
        <f>"50.0709"</f>
        <v>50.0709</v>
      </c>
      <c r="B1398" t="s">
        <v>2894</v>
      </c>
      <c r="C1398" s="8" t="s">
        <v>2895</v>
      </c>
      <c r="D1398" t="s">
        <v>250</v>
      </c>
      <c r="E1398" t="s">
        <v>251</v>
      </c>
      <c r="F1398" t="str">
        <f>"50.0709"</f>
        <v>50.0709</v>
      </c>
      <c r="G1398" s="8" t="s">
        <v>2895</v>
      </c>
    </row>
    <row r="1399" spans="1:7" x14ac:dyDescent="0.35">
      <c r="A1399" t="str">
        <f>"50.0710"</f>
        <v>50.0710</v>
      </c>
      <c r="B1399" t="s">
        <v>2896</v>
      </c>
      <c r="C1399" s="8" t="s">
        <v>2897</v>
      </c>
      <c r="D1399" t="s">
        <v>250</v>
      </c>
      <c r="E1399" t="s">
        <v>251</v>
      </c>
      <c r="F1399" t="str">
        <f>"50.0710"</f>
        <v>50.0710</v>
      </c>
      <c r="G1399" s="8" t="s">
        <v>2897</v>
      </c>
    </row>
    <row r="1400" spans="1:7" x14ac:dyDescent="0.35">
      <c r="A1400" t="str">
        <f>"50.0711"</f>
        <v>50.0711</v>
      </c>
      <c r="B1400" t="s">
        <v>2898</v>
      </c>
      <c r="C1400" s="8" t="s">
        <v>2899</v>
      </c>
      <c r="D1400" t="s">
        <v>250</v>
      </c>
      <c r="E1400" t="s">
        <v>251</v>
      </c>
      <c r="F1400" t="str">
        <f>"50.0711"</f>
        <v>50.0711</v>
      </c>
      <c r="G1400" s="8" t="s">
        <v>2899</v>
      </c>
    </row>
    <row r="1401" spans="1:7" x14ac:dyDescent="0.35">
      <c r="A1401" t="str">
        <f>"50.0712"</f>
        <v>50.0712</v>
      </c>
      <c r="B1401" t="s">
        <v>2900</v>
      </c>
      <c r="C1401" s="8" t="s">
        <v>2901</v>
      </c>
      <c r="D1401" t="s">
        <v>250</v>
      </c>
      <c r="E1401" t="s">
        <v>251</v>
      </c>
      <c r="F1401" t="str">
        <f>"50.0712"</f>
        <v>50.0712</v>
      </c>
      <c r="G1401" s="8" t="s">
        <v>2901</v>
      </c>
    </row>
    <row r="1402" spans="1:7" x14ac:dyDescent="0.35">
      <c r="A1402" t="str">
        <f>"50.0713"</f>
        <v>50.0713</v>
      </c>
      <c r="B1402" t="s">
        <v>2902</v>
      </c>
      <c r="C1402" s="8" t="s">
        <v>2903</v>
      </c>
      <c r="D1402" t="s">
        <v>250</v>
      </c>
      <c r="E1402" t="s">
        <v>264</v>
      </c>
      <c r="F1402" t="str">
        <f>"50.0713"</f>
        <v>50.0713</v>
      </c>
      <c r="G1402" s="8" t="s">
        <v>2904</v>
      </c>
    </row>
    <row r="1403" spans="1:7" x14ac:dyDescent="0.35">
      <c r="D1403" t="s">
        <v>275</v>
      </c>
      <c r="E1403" t="s">
        <v>251</v>
      </c>
      <c r="F1403" t="str">
        <f>"50.0714"</f>
        <v>50.0714</v>
      </c>
      <c r="G1403" s="8" t="s">
        <v>2905</v>
      </c>
    </row>
    <row r="1404" spans="1:7" x14ac:dyDescent="0.35">
      <c r="A1404" t="str">
        <f>"50.0799"</f>
        <v>50.0799</v>
      </c>
      <c r="B1404" t="s">
        <v>2906</v>
      </c>
      <c r="C1404" s="8" t="s">
        <v>2907</v>
      </c>
      <c r="D1404" t="s">
        <v>250</v>
      </c>
      <c r="E1404" t="s">
        <v>251</v>
      </c>
      <c r="F1404" t="str">
        <f>"50.0799"</f>
        <v>50.0799</v>
      </c>
      <c r="G1404" s="8" t="s">
        <v>2907</v>
      </c>
    </row>
    <row r="1405" spans="1:7" x14ac:dyDescent="0.35">
      <c r="A1405" t="str">
        <f>"50.0901"</f>
        <v>50.0901</v>
      </c>
      <c r="B1405" t="s">
        <v>2908</v>
      </c>
      <c r="C1405" s="8" t="s">
        <v>2909</v>
      </c>
      <c r="D1405" t="s">
        <v>250</v>
      </c>
      <c r="E1405" t="s">
        <v>251</v>
      </c>
      <c r="F1405" t="str">
        <f>"50.0901"</f>
        <v>50.0901</v>
      </c>
      <c r="G1405" s="8" t="s">
        <v>2909</v>
      </c>
    </row>
    <row r="1406" spans="1:7" x14ac:dyDescent="0.35">
      <c r="A1406" t="str">
        <f>"50.0902"</f>
        <v>50.0902</v>
      </c>
      <c r="B1406" t="s">
        <v>2910</v>
      </c>
      <c r="C1406" s="8" t="s">
        <v>2911</v>
      </c>
      <c r="D1406" t="s">
        <v>250</v>
      </c>
      <c r="E1406" t="s">
        <v>251</v>
      </c>
      <c r="F1406" t="str">
        <f>"50.0902"</f>
        <v>50.0902</v>
      </c>
      <c r="G1406" s="8" t="s">
        <v>2911</v>
      </c>
    </row>
    <row r="1407" spans="1:7" x14ac:dyDescent="0.35">
      <c r="A1407" t="str">
        <f>"50.0903"</f>
        <v>50.0903</v>
      </c>
      <c r="B1407" t="s">
        <v>2912</v>
      </c>
      <c r="C1407" s="8" t="s">
        <v>2913</v>
      </c>
      <c r="D1407" t="s">
        <v>250</v>
      </c>
      <c r="E1407" t="s">
        <v>251</v>
      </c>
      <c r="F1407" t="str">
        <f>"50.0903"</f>
        <v>50.0903</v>
      </c>
      <c r="G1407" s="8" t="s">
        <v>2913</v>
      </c>
    </row>
    <row r="1408" spans="1:7" x14ac:dyDescent="0.35">
      <c r="A1408" t="str">
        <f>"50.0904"</f>
        <v>50.0904</v>
      </c>
      <c r="B1408" t="s">
        <v>2914</v>
      </c>
      <c r="C1408" s="8" t="s">
        <v>2915</v>
      </c>
      <c r="D1408" t="s">
        <v>250</v>
      </c>
      <c r="E1408" t="s">
        <v>251</v>
      </c>
      <c r="F1408" t="str">
        <f>"50.0904"</f>
        <v>50.0904</v>
      </c>
      <c r="G1408" s="8" t="s">
        <v>2915</v>
      </c>
    </row>
    <row r="1409" spans="1:7" x14ac:dyDescent="0.35">
      <c r="A1409" t="str">
        <f>"50.0905"</f>
        <v>50.0905</v>
      </c>
      <c r="B1409" t="s">
        <v>2916</v>
      </c>
      <c r="C1409" s="8" t="s">
        <v>2917</v>
      </c>
      <c r="D1409" t="s">
        <v>250</v>
      </c>
      <c r="E1409" t="s">
        <v>251</v>
      </c>
      <c r="F1409" t="str">
        <f>"50.0905"</f>
        <v>50.0905</v>
      </c>
      <c r="G1409" s="8" t="s">
        <v>2917</v>
      </c>
    </row>
    <row r="1410" spans="1:7" x14ac:dyDescent="0.35">
      <c r="A1410" t="str">
        <f>"50.0906"</f>
        <v>50.0906</v>
      </c>
      <c r="B1410" t="s">
        <v>2918</v>
      </c>
      <c r="C1410" s="8" t="s">
        <v>2919</v>
      </c>
      <c r="D1410" t="s">
        <v>250</v>
      </c>
      <c r="E1410" t="s">
        <v>251</v>
      </c>
      <c r="F1410" t="str">
        <f>"50.0906"</f>
        <v>50.0906</v>
      </c>
      <c r="G1410" s="8" t="s">
        <v>2919</v>
      </c>
    </row>
    <row r="1411" spans="1:7" x14ac:dyDescent="0.35">
      <c r="A1411" t="str">
        <f>"50.0907"</f>
        <v>50.0907</v>
      </c>
      <c r="B1411" t="s">
        <v>2920</v>
      </c>
      <c r="C1411" s="8" t="s">
        <v>2921</v>
      </c>
      <c r="D1411" t="s">
        <v>250</v>
      </c>
      <c r="E1411" t="s">
        <v>251</v>
      </c>
      <c r="F1411" t="str">
        <f>"50.0907"</f>
        <v>50.0907</v>
      </c>
      <c r="G1411" s="8" t="s">
        <v>2921</v>
      </c>
    </row>
    <row r="1412" spans="1:7" x14ac:dyDescent="0.35">
      <c r="A1412" t="str">
        <f>"50.0908"</f>
        <v>50.0908</v>
      </c>
      <c r="B1412" t="s">
        <v>2922</v>
      </c>
      <c r="C1412" s="8" t="s">
        <v>2923</v>
      </c>
      <c r="D1412" t="s">
        <v>250</v>
      </c>
      <c r="E1412" t="s">
        <v>251</v>
      </c>
      <c r="F1412" t="str">
        <f>"50.0908"</f>
        <v>50.0908</v>
      </c>
      <c r="G1412" s="8" t="s">
        <v>2923</v>
      </c>
    </row>
    <row r="1413" spans="1:7" x14ac:dyDescent="0.35">
      <c r="A1413" t="str">
        <f>"50.0910"</f>
        <v>50.0910</v>
      </c>
      <c r="B1413" t="s">
        <v>2924</v>
      </c>
      <c r="C1413" s="8" t="s">
        <v>2925</v>
      </c>
      <c r="D1413" t="s">
        <v>250</v>
      </c>
      <c r="E1413" t="s">
        <v>251</v>
      </c>
      <c r="F1413" t="str">
        <f>"50.0910"</f>
        <v>50.0910</v>
      </c>
      <c r="G1413" s="8" t="s">
        <v>2925</v>
      </c>
    </row>
    <row r="1414" spans="1:7" x14ac:dyDescent="0.35">
      <c r="A1414" t="str">
        <f>"50.0911"</f>
        <v>50.0911</v>
      </c>
      <c r="B1414" t="s">
        <v>2926</v>
      </c>
      <c r="C1414" s="8" t="s">
        <v>2927</v>
      </c>
      <c r="D1414" t="s">
        <v>250</v>
      </c>
      <c r="E1414" t="s">
        <v>251</v>
      </c>
      <c r="F1414" t="str">
        <f>"50.0911"</f>
        <v>50.0911</v>
      </c>
      <c r="G1414" s="8" t="s">
        <v>2927</v>
      </c>
    </row>
    <row r="1415" spans="1:7" x14ac:dyDescent="0.35">
      <c r="A1415" t="str">
        <f>"50.0912"</f>
        <v>50.0912</v>
      </c>
      <c r="B1415" t="s">
        <v>2928</v>
      </c>
      <c r="C1415" s="8" t="s">
        <v>2929</v>
      </c>
      <c r="D1415" t="s">
        <v>250</v>
      </c>
      <c r="E1415" t="s">
        <v>251</v>
      </c>
      <c r="F1415" t="str">
        <f>"50.0912"</f>
        <v>50.0912</v>
      </c>
      <c r="G1415" s="8" t="s">
        <v>2929</v>
      </c>
    </row>
    <row r="1416" spans="1:7" x14ac:dyDescent="0.35">
      <c r="A1416" t="str">
        <f>"50.0913"</f>
        <v>50.0913</v>
      </c>
      <c r="B1416" t="s">
        <v>2930</v>
      </c>
      <c r="C1416" s="8" t="s">
        <v>2931</v>
      </c>
      <c r="D1416" t="s">
        <v>250</v>
      </c>
      <c r="E1416" t="s">
        <v>251</v>
      </c>
      <c r="F1416" t="str">
        <f>"50.0913"</f>
        <v>50.0913</v>
      </c>
      <c r="G1416" s="8" t="s">
        <v>2931</v>
      </c>
    </row>
    <row r="1417" spans="1:7" x14ac:dyDescent="0.35">
      <c r="A1417" t="str">
        <f>"50.0914"</f>
        <v>50.0914</v>
      </c>
      <c r="B1417" t="s">
        <v>2932</v>
      </c>
      <c r="C1417" s="8" t="s">
        <v>2933</v>
      </c>
      <c r="D1417" t="s">
        <v>250</v>
      </c>
      <c r="E1417" t="s">
        <v>251</v>
      </c>
      <c r="F1417" t="str">
        <f>"50.0914"</f>
        <v>50.0914</v>
      </c>
      <c r="G1417" s="8" t="s">
        <v>2933</v>
      </c>
    </row>
    <row r="1418" spans="1:7" x14ac:dyDescent="0.35">
      <c r="A1418" t="str">
        <f>"50.0915"</f>
        <v>50.0915</v>
      </c>
      <c r="B1418" t="s">
        <v>2934</v>
      </c>
      <c r="C1418" s="8" t="s">
        <v>2935</v>
      </c>
      <c r="D1418" t="s">
        <v>250</v>
      </c>
      <c r="E1418" t="s">
        <v>251</v>
      </c>
      <c r="F1418" t="str">
        <f>"50.0915"</f>
        <v>50.0915</v>
      </c>
      <c r="G1418" s="8" t="s">
        <v>2935</v>
      </c>
    </row>
    <row r="1419" spans="1:7" x14ac:dyDescent="0.35">
      <c r="A1419" t="str">
        <f>"50.0916"</f>
        <v>50.0916</v>
      </c>
      <c r="B1419" t="s">
        <v>2936</v>
      </c>
      <c r="C1419" s="8" t="s">
        <v>2937</v>
      </c>
      <c r="D1419" t="s">
        <v>250</v>
      </c>
      <c r="E1419" t="s">
        <v>251</v>
      </c>
      <c r="F1419" t="str">
        <f>"50.0916"</f>
        <v>50.0916</v>
      </c>
      <c r="G1419" s="8" t="s">
        <v>2937</v>
      </c>
    </row>
    <row r="1420" spans="1:7" x14ac:dyDescent="0.35">
      <c r="D1420" t="s">
        <v>275</v>
      </c>
      <c r="E1420" t="s">
        <v>251</v>
      </c>
      <c r="F1420" t="str">
        <f>"50.0917"</f>
        <v>50.0917</v>
      </c>
      <c r="G1420" s="8" t="s">
        <v>2938</v>
      </c>
    </row>
    <row r="1421" spans="1:7" x14ac:dyDescent="0.35">
      <c r="A1421" t="str">
        <f>"50.0999"</f>
        <v>50.0999</v>
      </c>
      <c r="B1421" t="s">
        <v>2939</v>
      </c>
      <c r="C1421" s="8" t="s">
        <v>2940</v>
      </c>
      <c r="D1421" t="s">
        <v>250</v>
      </c>
      <c r="E1421" t="s">
        <v>251</v>
      </c>
      <c r="F1421" t="str">
        <f>"50.0999"</f>
        <v>50.0999</v>
      </c>
      <c r="G1421" s="8" t="s">
        <v>2940</v>
      </c>
    </row>
    <row r="1422" spans="1:7" ht="29" x14ac:dyDescent="0.35">
      <c r="A1422" t="str">
        <f>"50.1001"</f>
        <v>50.1001</v>
      </c>
      <c r="B1422" t="s">
        <v>2941</v>
      </c>
      <c r="C1422" s="8" t="s">
        <v>2942</v>
      </c>
      <c r="D1422" t="s">
        <v>250</v>
      </c>
      <c r="E1422" t="s">
        <v>251</v>
      </c>
      <c r="F1422" t="str">
        <f>"50.1001"</f>
        <v>50.1001</v>
      </c>
      <c r="G1422" s="8" t="s">
        <v>2943</v>
      </c>
    </row>
    <row r="1423" spans="1:7" x14ac:dyDescent="0.35">
      <c r="A1423" t="str">
        <f>"50.1002"</f>
        <v>50.1002</v>
      </c>
      <c r="B1423" t="s">
        <v>2944</v>
      </c>
      <c r="C1423" s="8" t="s">
        <v>2945</v>
      </c>
      <c r="D1423" t="s">
        <v>250</v>
      </c>
      <c r="E1423" t="s">
        <v>251</v>
      </c>
      <c r="F1423" t="str">
        <f>"50.1002"</f>
        <v>50.1002</v>
      </c>
      <c r="G1423" s="8" t="s">
        <v>2945</v>
      </c>
    </row>
    <row r="1424" spans="1:7" x14ac:dyDescent="0.35">
      <c r="A1424" t="str">
        <f>"50.1003"</f>
        <v>50.1003</v>
      </c>
      <c r="B1424" t="s">
        <v>2946</v>
      </c>
      <c r="C1424" s="8" t="s">
        <v>2947</v>
      </c>
      <c r="D1424" t="s">
        <v>250</v>
      </c>
      <c r="E1424" t="s">
        <v>251</v>
      </c>
      <c r="F1424" t="str">
        <f>"50.1003"</f>
        <v>50.1003</v>
      </c>
      <c r="G1424" s="8" t="s">
        <v>2947</v>
      </c>
    </row>
    <row r="1425" spans="1:7" x14ac:dyDescent="0.35">
      <c r="A1425" t="str">
        <f>"50.1004"</f>
        <v>50.1004</v>
      </c>
      <c r="B1425" t="s">
        <v>2948</v>
      </c>
      <c r="C1425" s="8" t="s">
        <v>2949</v>
      </c>
      <c r="D1425" t="s">
        <v>250</v>
      </c>
      <c r="E1425" t="s">
        <v>251</v>
      </c>
      <c r="F1425" t="str">
        <f>"50.1004"</f>
        <v>50.1004</v>
      </c>
      <c r="G1425" s="8" t="s">
        <v>2949</v>
      </c>
    </row>
    <row r="1426" spans="1:7" ht="29" x14ac:dyDescent="0.35">
      <c r="A1426" t="str">
        <f>"50.1099"</f>
        <v>50.1099</v>
      </c>
      <c r="B1426" t="s">
        <v>2950</v>
      </c>
      <c r="C1426" s="8" t="s">
        <v>2951</v>
      </c>
      <c r="D1426" t="s">
        <v>250</v>
      </c>
      <c r="E1426" t="s">
        <v>251</v>
      </c>
      <c r="F1426" t="str">
        <f>"50.1099"</f>
        <v>50.1099</v>
      </c>
      <c r="G1426" s="8" t="s">
        <v>2951</v>
      </c>
    </row>
    <row r="1427" spans="1:7" x14ac:dyDescent="0.35">
      <c r="D1427" t="s">
        <v>275</v>
      </c>
      <c r="E1427" t="s">
        <v>251</v>
      </c>
      <c r="F1427" t="str">
        <f>"50.1101"</f>
        <v>50.1101</v>
      </c>
      <c r="G1427" s="8" t="s">
        <v>2952</v>
      </c>
    </row>
    <row r="1428" spans="1:7" x14ac:dyDescent="0.35">
      <c r="A1428" t="str">
        <f>"50.9999"</f>
        <v>50.9999</v>
      </c>
      <c r="B1428" t="s">
        <v>2953</v>
      </c>
      <c r="C1428" s="8" t="s">
        <v>2954</v>
      </c>
      <c r="D1428" t="s">
        <v>250</v>
      </c>
      <c r="E1428" t="s">
        <v>251</v>
      </c>
      <c r="F1428" t="str">
        <f>"50.9999"</f>
        <v>50.9999</v>
      </c>
      <c r="G1428" s="8" t="s">
        <v>2954</v>
      </c>
    </row>
    <row r="1429" spans="1:7" ht="29" x14ac:dyDescent="0.35">
      <c r="A1429" t="str">
        <f>"51.0000"</f>
        <v>51.0000</v>
      </c>
      <c r="B1429" t="s">
        <v>2955</v>
      </c>
      <c r="C1429" s="8" t="s">
        <v>2956</v>
      </c>
      <c r="D1429" t="s">
        <v>250</v>
      </c>
      <c r="E1429" t="s">
        <v>251</v>
      </c>
      <c r="F1429" t="str">
        <f>"51.0000"</f>
        <v>51.0000</v>
      </c>
      <c r="G1429" s="8" t="s">
        <v>2956</v>
      </c>
    </row>
    <row r="1430" spans="1:7" x14ac:dyDescent="0.35">
      <c r="A1430" t="str">
        <f>"51.0001"</f>
        <v>51.0001</v>
      </c>
      <c r="B1430" t="s">
        <v>2957</v>
      </c>
      <c r="C1430" s="8" t="s">
        <v>2958</v>
      </c>
      <c r="D1430" t="s">
        <v>250</v>
      </c>
      <c r="E1430" t="s">
        <v>251</v>
      </c>
      <c r="F1430" t="str">
        <f>"51.0001"</f>
        <v>51.0001</v>
      </c>
      <c r="G1430" s="8" t="s">
        <v>2958</v>
      </c>
    </row>
    <row r="1431" spans="1:7" x14ac:dyDescent="0.35">
      <c r="A1431" t="str">
        <f>"51.0101"</f>
        <v>51.0101</v>
      </c>
      <c r="B1431" t="s">
        <v>2959</v>
      </c>
      <c r="C1431" s="8" t="s">
        <v>2960</v>
      </c>
      <c r="D1431" t="s">
        <v>250</v>
      </c>
      <c r="E1431" t="s">
        <v>251</v>
      </c>
      <c r="F1431" t="str">
        <f>"51.0101"</f>
        <v>51.0101</v>
      </c>
      <c r="G1431" s="8" t="s">
        <v>2960</v>
      </c>
    </row>
    <row r="1432" spans="1:7" ht="29" x14ac:dyDescent="0.35">
      <c r="A1432" t="str">
        <f>"51.0201"</f>
        <v>51.0201</v>
      </c>
      <c r="B1432" t="s">
        <v>2961</v>
      </c>
      <c r="C1432" s="8" t="s">
        <v>2962</v>
      </c>
      <c r="D1432" t="s">
        <v>250</v>
      </c>
      <c r="E1432" t="s">
        <v>251</v>
      </c>
      <c r="F1432" t="str">
        <f>"51.0201"</f>
        <v>51.0201</v>
      </c>
      <c r="G1432" s="8" t="s">
        <v>2962</v>
      </c>
    </row>
    <row r="1433" spans="1:7" x14ac:dyDescent="0.35">
      <c r="A1433" t="str">
        <f>"51.0202"</f>
        <v>51.0202</v>
      </c>
      <c r="B1433" t="s">
        <v>2963</v>
      </c>
      <c r="C1433" s="8" t="s">
        <v>2964</v>
      </c>
      <c r="D1433" t="s">
        <v>250</v>
      </c>
      <c r="E1433" t="s">
        <v>251</v>
      </c>
      <c r="F1433" t="str">
        <f>"51.0202"</f>
        <v>51.0202</v>
      </c>
      <c r="G1433" s="8" t="s">
        <v>2964</v>
      </c>
    </row>
    <row r="1434" spans="1:7" x14ac:dyDescent="0.35">
      <c r="A1434" t="str">
        <f>"51.0203"</f>
        <v>51.0203</v>
      </c>
      <c r="B1434" t="s">
        <v>2965</v>
      </c>
      <c r="C1434" s="8" t="s">
        <v>2966</v>
      </c>
      <c r="D1434" t="s">
        <v>250</v>
      </c>
      <c r="E1434" t="s">
        <v>251</v>
      </c>
      <c r="F1434" t="str">
        <f>"51.0203"</f>
        <v>51.0203</v>
      </c>
      <c r="G1434" s="8" t="s">
        <v>2966</v>
      </c>
    </row>
    <row r="1435" spans="1:7" ht="29" x14ac:dyDescent="0.35">
      <c r="A1435" t="str">
        <f>"51.0204"</f>
        <v>51.0204</v>
      </c>
      <c r="B1435" t="s">
        <v>2967</v>
      </c>
      <c r="C1435" s="8" t="s">
        <v>2968</v>
      </c>
      <c r="D1435" t="s">
        <v>250</v>
      </c>
      <c r="E1435" t="s">
        <v>251</v>
      </c>
      <c r="F1435" t="str">
        <f>"51.0204"</f>
        <v>51.0204</v>
      </c>
      <c r="G1435" s="8" t="s">
        <v>2968</v>
      </c>
    </row>
    <row r="1436" spans="1:7" ht="29" x14ac:dyDescent="0.35">
      <c r="A1436" t="str">
        <f>"51.0299"</f>
        <v>51.0299</v>
      </c>
      <c r="B1436" t="s">
        <v>2969</v>
      </c>
      <c r="C1436" s="8" t="s">
        <v>2970</v>
      </c>
      <c r="D1436" t="s">
        <v>250</v>
      </c>
      <c r="E1436" t="s">
        <v>251</v>
      </c>
      <c r="F1436" t="str">
        <f>"51.0299"</f>
        <v>51.0299</v>
      </c>
      <c r="G1436" s="8" t="s">
        <v>2970</v>
      </c>
    </row>
    <row r="1437" spans="1:7" x14ac:dyDescent="0.35">
      <c r="A1437" t="str">
        <f>"51.0401"</f>
        <v>51.0401</v>
      </c>
      <c r="B1437" t="s">
        <v>2971</v>
      </c>
      <c r="C1437" s="8" t="s">
        <v>2972</v>
      </c>
      <c r="D1437" t="s">
        <v>250</v>
      </c>
      <c r="E1437" t="s">
        <v>251</v>
      </c>
      <c r="F1437" t="str">
        <f>"51.0401"</f>
        <v>51.0401</v>
      </c>
      <c r="G1437" s="8" t="s">
        <v>2972</v>
      </c>
    </row>
    <row r="1438" spans="1:7" x14ac:dyDescent="0.35">
      <c r="A1438" t="str">
        <f>"51.0501"</f>
        <v>51.0501</v>
      </c>
      <c r="B1438" t="s">
        <v>2973</v>
      </c>
      <c r="C1438" s="8" t="s">
        <v>2974</v>
      </c>
      <c r="D1438" t="s">
        <v>250</v>
      </c>
      <c r="E1438" t="s">
        <v>251</v>
      </c>
      <c r="F1438" t="str">
        <f>"51.0501"</f>
        <v>51.0501</v>
      </c>
      <c r="G1438" s="8" t="s">
        <v>2974</v>
      </c>
    </row>
    <row r="1439" spans="1:7" x14ac:dyDescent="0.35">
      <c r="A1439" t="str">
        <f>"51.0502"</f>
        <v>51.0502</v>
      </c>
      <c r="B1439" t="s">
        <v>2975</v>
      </c>
      <c r="C1439" s="8" t="s">
        <v>2976</v>
      </c>
      <c r="D1439" t="s">
        <v>250</v>
      </c>
      <c r="E1439" t="s">
        <v>251</v>
      </c>
      <c r="F1439" t="str">
        <f>"51.0502"</f>
        <v>51.0502</v>
      </c>
      <c r="G1439" s="8" t="s">
        <v>2976</v>
      </c>
    </row>
    <row r="1440" spans="1:7" ht="29" x14ac:dyDescent="0.35">
      <c r="A1440" t="str">
        <f>"51.0503"</f>
        <v>51.0503</v>
      </c>
      <c r="B1440" t="s">
        <v>2977</v>
      </c>
      <c r="C1440" s="8" t="s">
        <v>2978</v>
      </c>
      <c r="D1440" t="s">
        <v>250</v>
      </c>
      <c r="E1440" t="s">
        <v>251</v>
      </c>
      <c r="F1440" t="str">
        <f>"51.0503"</f>
        <v>51.0503</v>
      </c>
      <c r="G1440" s="8" t="s">
        <v>2978</v>
      </c>
    </row>
    <row r="1441" spans="1:7" x14ac:dyDescent="0.35">
      <c r="A1441" t="str">
        <f>"51.0504"</f>
        <v>51.0504</v>
      </c>
      <c r="B1441" t="s">
        <v>2979</v>
      </c>
      <c r="C1441" s="8" t="s">
        <v>2980</v>
      </c>
      <c r="D1441" t="s">
        <v>250</v>
      </c>
      <c r="E1441" t="s">
        <v>251</v>
      </c>
      <c r="F1441" t="str">
        <f>"51.0504"</f>
        <v>51.0504</v>
      </c>
      <c r="G1441" s="8" t="s">
        <v>2980</v>
      </c>
    </row>
    <row r="1442" spans="1:7" x14ac:dyDescent="0.35">
      <c r="A1442" t="str">
        <f>"51.0505"</f>
        <v>51.0505</v>
      </c>
      <c r="B1442" t="s">
        <v>2981</v>
      </c>
      <c r="C1442" s="8" t="s">
        <v>2982</v>
      </c>
      <c r="D1442" t="s">
        <v>250</v>
      </c>
      <c r="E1442" t="s">
        <v>251</v>
      </c>
      <c r="F1442" t="str">
        <f>"51.0505"</f>
        <v>51.0505</v>
      </c>
      <c r="G1442" s="8" t="s">
        <v>2982</v>
      </c>
    </row>
    <row r="1443" spans="1:7" x14ac:dyDescent="0.35">
      <c r="A1443" t="str">
        <f>"51.0506"</f>
        <v>51.0506</v>
      </c>
      <c r="B1443" t="s">
        <v>2983</v>
      </c>
      <c r="C1443" s="8" t="s">
        <v>2984</v>
      </c>
      <c r="D1443" t="s">
        <v>250</v>
      </c>
      <c r="E1443" t="s">
        <v>251</v>
      </c>
      <c r="F1443" t="str">
        <f>"51.0506"</f>
        <v>51.0506</v>
      </c>
      <c r="G1443" s="8" t="s">
        <v>2984</v>
      </c>
    </row>
    <row r="1444" spans="1:7" x14ac:dyDescent="0.35">
      <c r="A1444" t="str">
        <f>"51.0507"</f>
        <v>51.0507</v>
      </c>
      <c r="B1444" t="s">
        <v>2985</v>
      </c>
      <c r="C1444" s="8" t="s">
        <v>2986</v>
      </c>
      <c r="D1444" t="s">
        <v>250</v>
      </c>
      <c r="E1444" t="s">
        <v>251</v>
      </c>
      <c r="F1444" t="str">
        <f>"51.0507"</f>
        <v>51.0507</v>
      </c>
      <c r="G1444" s="8" t="s">
        <v>2986</v>
      </c>
    </row>
    <row r="1445" spans="1:7" x14ac:dyDescent="0.35">
      <c r="A1445" t="str">
        <f>"51.0508"</f>
        <v>51.0508</v>
      </c>
      <c r="B1445" t="s">
        <v>2987</v>
      </c>
      <c r="C1445" s="8" t="s">
        <v>2988</v>
      </c>
      <c r="D1445" t="s">
        <v>250</v>
      </c>
      <c r="E1445" t="s">
        <v>251</v>
      </c>
      <c r="F1445" t="str">
        <f>"51.0508"</f>
        <v>51.0508</v>
      </c>
      <c r="G1445" s="8" t="s">
        <v>2988</v>
      </c>
    </row>
    <row r="1446" spans="1:7" x14ac:dyDescent="0.35">
      <c r="A1446" t="str">
        <f>"51.0509"</f>
        <v>51.0509</v>
      </c>
      <c r="B1446" t="s">
        <v>2989</v>
      </c>
      <c r="C1446" s="8" t="s">
        <v>2990</v>
      </c>
      <c r="D1446" t="s">
        <v>250</v>
      </c>
      <c r="E1446" t="s">
        <v>251</v>
      </c>
      <c r="F1446" t="str">
        <f>"51.0509"</f>
        <v>51.0509</v>
      </c>
      <c r="G1446" s="8" t="s">
        <v>2990</v>
      </c>
    </row>
    <row r="1447" spans="1:7" x14ac:dyDescent="0.35">
      <c r="A1447" t="str">
        <f>"51.0510"</f>
        <v>51.0510</v>
      </c>
      <c r="B1447" t="s">
        <v>2991</v>
      </c>
      <c r="C1447" s="8" t="s">
        <v>2992</v>
      </c>
      <c r="D1447" t="s">
        <v>250</v>
      </c>
      <c r="E1447" t="s">
        <v>251</v>
      </c>
      <c r="F1447" t="str">
        <f>"51.0510"</f>
        <v>51.0510</v>
      </c>
      <c r="G1447" s="8" t="s">
        <v>2992</v>
      </c>
    </row>
    <row r="1448" spans="1:7" x14ac:dyDescent="0.35">
      <c r="A1448" t="str">
        <f>"51.0511"</f>
        <v>51.0511</v>
      </c>
      <c r="B1448" t="s">
        <v>2993</v>
      </c>
      <c r="C1448" s="8" t="s">
        <v>2994</v>
      </c>
      <c r="D1448" t="s">
        <v>250</v>
      </c>
      <c r="E1448" t="s">
        <v>251</v>
      </c>
      <c r="F1448" t="str">
        <f>"51.0511"</f>
        <v>51.0511</v>
      </c>
      <c r="G1448" s="8" t="s">
        <v>2994</v>
      </c>
    </row>
    <row r="1449" spans="1:7" x14ac:dyDescent="0.35">
      <c r="D1449" t="s">
        <v>275</v>
      </c>
      <c r="E1449" t="s">
        <v>251</v>
      </c>
      <c r="F1449" t="str">
        <f>"51.0512"</f>
        <v>51.0512</v>
      </c>
      <c r="G1449" s="8" t="s">
        <v>2995</v>
      </c>
    </row>
    <row r="1450" spans="1:7" x14ac:dyDescent="0.35">
      <c r="D1450" t="s">
        <v>275</v>
      </c>
      <c r="E1450" t="s">
        <v>251</v>
      </c>
      <c r="F1450" t="str">
        <f>"51.0513"</f>
        <v>51.0513</v>
      </c>
      <c r="G1450" s="8" t="s">
        <v>2996</v>
      </c>
    </row>
    <row r="1451" spans="1:7" x14ac:dyDescent="0.35">
      <c r="D1451" t="s">
        <v>275</v>
      </c>
      <c r="E1451" t="s">
        <v>251</v>
      </c>
      <c r="F1451" t="str">
        <f>"51.0514"</f>
        <v>51.0514</v>
      </c>
      <c r="G1451" s="8" t="s">
        <v>2997</v>
      </c>
    </row>
    <row r="1452" spans="1:7" ht="29" x14ac:dyDescent="0.35">
      <c r="A1452" t="str">
        <f>"51.0599"</f>
        <v>51.0599</v>
      </c>
      <c r="B1452" t="s">
        <v>2998</v>
      </c>
      <c r="C1452" s="8" t="s">
        <v>2999</v>
      </c>
      <c r="D1452" t="s">
        <v>250</v>
      </c>
      <c r="E1452" t="s">
        <v>251</v>
      </c>
      <c r="F1452" t="str">
        <f>"51.0599"</f>
        <v>51.0599</v>
      </c>
      <c r="G1452" s="8" t="s">
        <v>2999</v>
      </c>
    </row>
    <row r="1453" spans="1:7" x14ac:dyDescent="0.35">
      <c r="A1453" t="str">
        <f>"51.0601"</f>
        <v>51.0601</v>
      </c>
      <c r="B1453" t="s">
        <v>3000</v>
      </c>
      <c r="C1453" s="8" t="s">
        <v>3001</v>
      </c>
      <c r="D1453" t="s">
        <v>250</v>
      </c>
      <c r="E1453" t="s">
        <v>251</v>
      </c>
      <c r="F1453" t="str">
        <f>"51.0601"</f>
        <v>51.0601</v>
      </c>
      <c r="G1453" s="8" t="s">
        <v>3001</v>
      </c>
    </row>
    <row r="1454" spans="1:7" x14ac:dyDescent="0.35">
      <c r="A1454" t="str">
        <f>"51.0602"</f>
        <v>51.0602</v>
      </c>
      <c r="B1454" t="s">
        <v>3002</v>
      </c>
      <c r="C1454" s="8" t="s">
        <v>3003</v>
      </c>
      <c r="D1454" t="s">
        <v>250</v>
      </c>
      <c r="E1454" t="s">
        <v>251</v>
      </c>
      <c r="F1454" t="str">
        <f>"51.0602"</f>
        <v>51.0602</v>
      </c>
      <c r="G1454" s="8" t="s">
        <v>3003</v>
      </c>
    </row>
    <row r="1455" spans="1:7" x14ac:dyDescent="0.35">
      <c r="A1455" t="str">
        <f>"51.0603"</f>
        <v>51.0603</v>
      </c>
      <c r="B1455" t="s">
        <v>3004</v>
      </c>
      <c r="C1455" s="8" t="s">
        <v>3005</v>
      </c>
      <c r="D1455" t="s">
        <v>250</v>
      </c>
      <c r="E1455" t="s">
        <v>251</v>
      </c>
      <c r="F1455" t="str">
        <f>"51.0603"</f>
        <v>51.0603</v>
      </c>
      <c r="G1455" s="8" t="s">
        <v>3005</v>
      </c>
    </row>
    <row r="1456" spans="1:7" ht="29" x14ac:dyDescent="0.35">
      <c r="A1456" t="str">
        <f>"51.0699"</f>
        <v>51.0699</v>
      </c>
      <c r="B1456" t="s">
        <v>3006</v>
      </c>
      <c r="C1456" s="8" t="s">
        <v>3007</v>
      </c>
      <c r="D1456" t="s">
        <v>250</v>
      </c>
      <c r="E1456" t="s">
        <v>251</v>
      </c>
      <c r="F1456" t="str">
        <f>"51.0699"</f>
        <v>51.0699</v>
      </c>
      <c r="G1456" s="8" t="s">
        <v>3007</v>
      </c>
    </row>
    <row r="1457" spans="1:7" ht="29" x14ac:dyDescent="0.35">
      <c r="A1457" t="str">
        <f>"51.0701"</f>
        <v>51.0701</v>
      </c>
      <c r="B1457" t="s">
        <v>3008</v>
      </c>
      <c r="C1457" s="8" t="s">
        <v>3009</v>
      </c>
      <c r="D1457" t="s">
        <v>250</v>
      </c>
      <c r="E1457" t="s">
        <v>251</v>
      </c>
      <c r="F1457" t="str">
        <f>"51.0701"</f>
        <v>51.0701</v>
      </c>
      <c r="G1457" s="8" t="s">
        <v>3009</v>
      </c>
    </row>
    <row r="1458" spans="1:7" ht="29" x14ac:dyDescent="0.35">
      <c r="A1458" t="str">
        <f>"51.0702"</f>
        <v>51.0702</v>
      </c>
      <c r="B1458" t="s">
        <v>3010</v>
      </c>
      <c r="C1458" s="8" t="s">
        <v>3011</v>
      </c>
      <c r="D1458" t="s">
        <v>250</v>
      </c>
      <c r="E1458" t="s">
        <v>251</v>
      </c>
      <c r="F1458" t="str">
        <f>"51.0702"</f>
        <v>51.0702</v>
      </c>
      <c r="G1458" s="8" t="s">
        <v>3011</v>
      </c>
    </row>
    <row r="1459" spans="1:7" x14ac:dyDescent="0.35">
      <c r="A1459" t="str">
        <f>"51.0703"</f>
        <v>51.0703</v>
      </c>
      <c r="B1459" t="s">
        <v>3012</v>
      </c>
      <c r="C1459" s="8" t="s">
        <v>3013</v>
      </c>
      <c r="D1459" t="s">
        <v>250</v>
      </c>
      <c r="E1459" t="s">
        <v>251</v>
      </c>
      <c r="F1459" t="str">
        <f>"51.0703"</f>
        <v>51.0703</v>
      </c>
      <c r="G1459" s="8" t="s">
        <v>3013</v>
      </c>
    </row>
    <row r="1460" spans="1:7" x14ac:dyDescent="0.35">
      <c r="A1460" t="str">
        <f>"51.0704"</f>
        <v>51.0704</v>
      </c>
      <c r="B1460" t="s">
        <v>3014</v>
      </c>
      <c r="C1460" s="8" t="s">
        <v>3015</v>
      </c>
      <c r="D1460" t="s">
        <v>250</v>
      </c>
      <c r="E1460" t="s">
        <v>251</v>
      </c>
      <c r="F1460" t="str">
        <f>"51.0704"</f>
        <v>51.0704</v>
      </c>
      <c r="G1460" s="8" t="s">
        <v>3015</v>
      </c>
    </row>
    <row r="1461" spans="1:7" ht="29" x14ac:dyDescent="0.35">
      <c r="A1461" t="str">
        <f>"51.0705"</f>
        <v>51.0705</v>
      </c>
      <c r="B1461" t="s">
        <v>3016</v>
      </c>
      <c r="C1461" s="8" t="s">
        <v>3017</v>
      </c>
      <c r="D1461" t="s">
        <v>250</v>
      </c>
      <c r="E1461" t="s">
        <v>251</v>
      </c>
      <c r="F1461" t="str">
        <f>"51.0705"</f>
        <v>51.0705</v>
      </c>
      <c r="G1461" s="8" t="s">
        <v>3017</v>
      </c>
    </row>
    <row r="1462" spans="1:7" ht="29" x14ac:dyDescent="0.35">
      <c r="A1462" t="str">
        <f>"51.0706"</f>
        <v>51.0706</v>
      </c>
      <c r="B1462" t="s">
        <v>3018</v>
      </c>
      <c r="C1462" s="8" t="s">
        <v>3019</v>
      </c>
      <c r="D1462" t="s">
        <v>250</v>
      </c>
      <c r="E1462" t="s">
        <v>251</v>
      </c>
      <c r="F1462" t="str">
        <f>"51.0706"</f>
        <v>51.0706</v>
      </c>
      <c r="G1462" s="8" t="s">
        <v>3019</v>
      </c>
    </row>
    <row r="1463" spans="1:7" ht="29" x14ac:dyDescent="0.35">
      <c r="A1463" t="str">
        <f>"51.0707"</f>
        <v>51.0707</v>
      </c>
      <c r="B1463" t="s">
        <v>3020</v>
      </c>
      <c r="C1463" s="8" t="s">
        <v>3021</v>
      </c>
      <c r="D1463" t="s">
        <v>250</v>
      </c>
      <c r="E1463" t="s">
        <v>251</v>
      </c>
      <c r="F1463" t="str">
        <f>"51.0707"</f>
        <v>51.0707</v>
      </c>
      <c r="G1463" s="8" t="s">
        <v>3021</v>
      </c>
    </row>
    <row r="1464" spans="1:7" x14ac:dyDescent="0.35">
      <c r="A1464" t="str">
        <f>"51.0708"</f>
        <v>51.0708</v>
      </c>
      <c r="B1464" t="s">
        <v>3022</v>
      </c>
      <c r="C1464" s="8" t="s">
        <v>3023</v>
      </c>
      <c r="D1464" t="s">
        <v>250</v>
      </c>
      <c r="E1464" t="s">
        <v>251</v>
      </c>
      <c r="F1464" t="str">
        <f>"51.0708"</f>
        <v>51.0708</v>
      </c>
      <c r="G1464" s="8" t="s">
        <v>3023</v>
      </c>
    </row>
    <row r="1465" spans="1:7" ht="29" x14ac:dyDescent="0.35">
      <c r="A1465" t="str">
        <f>"51.0709"</f>
        <v>51.0709</v>
      </c>
      <c r="B1465" t="s">
        <v>3024</v>
      </c>
      <c r="C1465" s="8" t="s">
        <v>3025</v>
      </c>
      <c r="D1465" t="s">
        <v>250</v>
      </c>
      <c r="E1465" t="s">
        <v>251</v>
      </c>
      <c r="F1465" t="str">
        <f>"51.0709"</f>
        <v>51.0709</v>
      </c>
      <c r="G1465" s="8" t="s">
        <v>3025</v>
      </c>
    </row>
    <row r="1466" spans="1:7" x14ac:dyDescent="0.35">
      <c r="A1466" t="str">
        <f>"51.0710"</f>
        <v>51.0710</v>
      </c>
      <c r="B1466" t="s">
        <v>3026</v>
      </c>
      <c r="C1466" s="8" t="s">
        <v>3027</v>
      </c>
      <c r="D1466" t="s">
        <v>250</v>
      </c>
      <c r="E1466" t="s">
        <v>251</v>
      </c>
      <c r="F1466" t="str">
        <f>"51.0710"</f>
        <v>51.0710</v>
      </c>
      <c r="G1466" s="8" t="s">
        <v>3027</v>
      </c>
    </row>
    <row r="1467" spans="1:7" ht="29" x14ac:dyDescent="0.35">
      <c r="A1467" t="str">
        <f>"51.0711"</f>
        <v>51.0711</v>
      </c>
      <c r="B1467" t="s">
        <v>3028</v>
      </c>
      <c r="C1467" s="8" t="s">
        <v>3029</v>
      </c>
      <c r="D1467" t="s">
        <v>250</v>
      </c>
      <c r="E1467" t="s">
        <v>251</v>
      </c>
      <c r="F1467" t="str">
        <f>"51.0711"</f>
        <v>51.0711</v>
      </c>
      <c r="G1467" s="8" t="s">
        <v>3029</v>
      </c>
    </row>
    <row r="1468" spans="1:7" x14ac:dyDescent="0.35">
      <c r="A1468" t="str">
        <f>"51.0712"</f>
        <v>51.0712</v>
      </c>
      <c r="B1468" t="s">
        <v>3030</v>
      </c>
      <c r="C1468" s="8" t="s">
        <v>3031</v>
      </c>
      <c r="D1468" t="s">
        <v>250</v>
      </c>
      <c r="E1468" t="s">
        <v>251</v>
      </c>
      <c r="F1468" t="str">
        <f>"51.0712"</f>
        <v>51.0712</v>
      </c>
      <c r="G1468" s="8" t="s">
        <v>3031</v>
      </c>
    </row>
    <row r="1469" spans="1:7" ht="29" x14ac:dyDescent="0.35">
      <c r="A1469" t="str">
        <f>"51.0713"</f>
        <v>51.0713</v>
      </c>
      <c r="B1469" t="s">
        <v>3032</v>
      </c>
      <c r="C1469" s="8" t="s">
        <v>3033</v>
      </c>
      <c r="D1469" t="s">
        <v>250</v>
      </c>
      <c r="E1469" t="s">
        <v>251</v>
      </c>
      <c r="F1469" t="str">
        <f>"51.0713"</f>
        <v>51.0713</v>
      </c>
      <c r="G1469" s="8" t="s">
        <v>3033</v>
      </c>
    </row>
    <row r="1470" spans="1:7" ht="29" x14ac:dyDescent="0.35">
      <c r="A1470" t="str">
        <f>"51.0714"</f>
        <v>51.0714</v>
      </c>
      <c r="B1470" t="s">
        <v>3034</v>
      </c>
      <c r="C1470" s="8" t="s">
        <v>3035</v>
      </c>
      <c r="D1470" t="s">
        <v>250</v>
      </c>
      <c r="E1470" t="s">
        <v>251</v>
      </c>
      <c r="F1470" t="str">
        <f>"51.0714"</f>
        <v>51.0714</v>
      </c>
      <c r="G1470" s="8" t="s">
        <v>3035</v>
      </c>
    </row>
    <row r="1471" spans="1:7" x14ac:dyDescent="0.35">
      <c r="A1471" t="str">
        <f>"51.0715"</f>
        <v>51.0715</v>
      </c>
      <c r="B1471" t="s">
        <v>3036</v>
      </c>
      <c r="C1471" s="8" t="s">
        <v>3037</v>
      </c>
      <c r="D1471" t="s">
        <v>250</v>
      </c>
      <c r="E1471" t="s">
        <v>251</v>
      </c>
      <c r="F1471" t="str">
        <f>"51.0715"</f>
        <v>51.0715</v>
      </c>
      <c r="G1471" s="8" t="s">
        <v>3037</v>
      </c>
    </row>
    <row r="1472" spans="1:7" ht="29" x14ac:dyDescent="0.35">
      <c r="A1472" t="str">
        <f>"51.0716"</f>
        <v>51.0716</v>
      </c>
      <c r="B1472" t="s">
        <v>3038</v>
      </c>
      <c r="C1472" s="8" t="s">
        <v>3039</v>
      </c>
      <c r="D1472" t="s">
        <v>250</v>
      </c>
      <c r="E1472" t="s">
        <v>251</v>
      </c>
      <c r="F1472" t="str">
        <f>"51.0716"</f>
        <v>51.0716</v>
      </c>
      <c r="G1472" s="8" t="s">
        <v>3039</v>
      </c>
    </row>
    <row r="1473" spans="1:7" ht="29" x14ac:dyDescent="0.35">
      <c r="A1473" t="str">
        <f>"51.0717"</f>
        <v>51.0717</v>
      </c>
      <c r="B1473" t="s">
        <v>3040</v>
      </c>
      <c r="C1473" s="8" t="s">
        <v>3041</v>
      </c>
      <c r="D1473" t="s">
        <v>250</v>
      </c>
      <c r="E1473" t="s">
        <v>251</v>
      </c>
      <c r="F1473" t="str">
        <f>"51.0717"</f>
        <v>51.0717</v>
      </c>
      <c r="G1473" s="8" t="s">
        <v>3041</v>
      </c>
    </row>
    <row r="1474" spans="1:7" ht="29" x14ac:dyDescent="0.35">
      <c r="A1474" t="str">
        <f>"51.0718"</f>
        <v>51.0718</v>
      </c>
      <c r="B1474" t="s">
        <v>3042</v>
      </c>
      <c r="C1474" s="8" t="s">
        <v>3043</v>
      </c>
      <c r="D1474" t="s">
        <v>250</v>
      </c>
      <c r="E1474" t="s">
        <v>251</v>
      </c>
      <c r="F1474" t="str">
        <f>"51.0718"</f>
        <v>51.0718</v>
      </c>
      <c r="G1474" s="8" t="s">
        <v>3043</v>
      </c>
    </row>
    <row r="1475" spans="1:7" x14ac:dyDescent="0.35">
      <c r="A1475" t="str">
        <f>"51.0719"</f>
        <v>51.0719</v>
      </c>
      <c r="B1475" t="s">
        <v>3044</v>
      </c>
      <c r="C1475" s="8" t="s">
        <v>3045</v>
      </c>
      <c r="D1475" t="s">
        <v>250</v>
      </c>
      <c r="E1475" t="s">
        <v>251</v>
      </c>
      <c r="F1475" t="str">
        <f>"51.0719"</f>
        <v>51.0719</v>
      </c>
      <c r="G1475" s="8" t="s">
        <v>3045</v>
      </c>
    </row>
    <row r="1476" spans="1:7" x14ac:dyDescent="0.35">
      <c r="D1476" t="s">
        <v>275</v>
      </c>
      <c r="E1476" t="s">
        <v>251</v>
      </c>
      <c r="F1476" t="str">
        <f>"51.0720"</f>
        <v>51.0720</v>
      </c>
      <c r="G1476" s="8" t="s">
        <v>3046</v>
      </c>
    </row>
    <row r="1477" spans="1:7" x14ac:dyDescent="0.35">
      <c r="D1477" t="s">
        <v>275</v>
      </c>
      <c r="E1477" t="s">
        <v>251</v>
      </c>
      <c r="F1477" t="str">
        <f>"51.0721"</f>
        <v>51.0721</v>
      </c>
      <c r="G1477" s="8" t="s">
        <v>3047</v>
      </c>
    </row>
    <row r="1478" spans="1:7" x14ac:dyDescent="0.35">
      <c r="D1478" t="s">
        <v>275</v>
      </c>
      <c r="E1478" t="s">
        <v>251</v>
      </c>
      <c r="F1478" t="str">
        <f>"51.0722"</f>
        <v>51.0722</v>
      </c>
      <c r="G1478" s="8" t="s">
        <v>3048</v>
      </c>
    </row>
    <row r="1479" spans="1:7" ht="29" x14ac:dyDescent="0.35">
      <c r="D1479" t="s">
        <v>275</v>
      </c>
      <c r="E1479" t="s">
        <v>251</v>
      </c>
      <c r="F1479" t="str">
        <f>"51.0723"</f>
        <v>51.0723</v>
      </c>
      <c r="G1479" s="8" t="s">
        <v>3049</v>
      </c>
    </row>
    <row r="1480" spans="1:7" ht="29" x14ac:dyDescent="0.35">
      <c r="A1480" t="str">
        <f>"51.0799"</f>
        <v>51.0799</v>
      </c>
      <c r="B1480" t="s">
        <v>3050</v>
      </c>
      <c r="C1480" s="8" t="s">
        <v>3051</v>
      </c>
      <c r="D1480" t="s">
        <v>250</v>
      </c>
      <c r="E1480" t="s">
        <v>251</v>
      </c>
      <c r="F1480" t="str">
        <f>"51.0799"</f>
        <v>51.0799</v>
      </c>
      <c r="G1480" s="8" t="s">
        <v>3051</v>
      </c>
    </row>
    <row r="1481" spans="1:7" x14ac:dyDescent="0.35">
      <c r="A1481" t="str">
        <f>"51.0801"</f>
        <v>51.0801</v>
      </c>
      <c r="B1481" t="s">
        <v>3052</v>
      </c>
      <c r="C1481" s="8" t="s">
        <v>3053</v>
      </c>
      <c r="D1481" t="s">
        <v>250</v>
      </c>
      <c r="E1481" t="s">
        <v>251</v>
      </c>
      <c r="F1481" t="str">
        <f>"51.0801"</f>
        <v>51.0801</v>
      </c>
      <c r="G1481" s="8" t="s">
        <v>3053</v>
      </c>
    </row>
    <row r="1482" spans="1:7" x14ac:dyDescent="0.35">
      <c r="A1482" t="str">
        <f>"51.0802"</f>
        <v>51.0802</v>
      </c>
      <c r="B1482" t="s">
        <v>3054</v>
      </c>
      <c r="C1482" s="8" t="s">
        <v>3055</v>
      </c>
      <c r="D1482" t="s">
        <v>250</v>
      </c>
      <c r="E1482" t="s">
        <v>251</v>
      </c>
      <c r="F1482" t="str">
        <f>"51.0802"</f>
        <v>51.0802</v>
      </c>
      <c r="G1482" s="8" t="s">
        <v>3055</v>
      </c>
    </row>
    <row r="1483" spans="1:7" x14ac:dyDescent="0.35">
      <c r="A1483" t="str">
        <f>"51.0803"</f>
        <v>51.0803</v>
      </c>
      <c r="B1483" t="s">
        <v>3056</v>
      </c>
      <c r="C1483" s="8" t="s">
        <v>3057</v>
      </c>
      <c r="D1483" t="s">
        <v>250</v>
      </c>
      <c r="E1483" t="s">
        <v>251</v>
      </c>
      <c r="F1483" t="str">
        <f>"51.0803"</f>
        <v>51.0803</v>
      </c>
      <c r="G1483" s="8" t="s">
        <v>3057</v>
      </c>
    </row>
    <row r="1484" spans="1:7" x14ac:dyDescent="0.35">
      <c r="A1484" t="str">
        <f>"51.0805"</f>
        <v>51.0805</v>
      </c>
      <c r="B1484" t="s">
        <v>3058</v>
      </c>
      <c r="C1484" s="8" t="s">
        <v>3059</v>
      </c>
      <c r="D1484" t="s">
        <v>250</v>
      </c>
      <c r="E1484" t="s">
        <v>251</v>
      </c>
      <c r="F1484" t="str">
        <f>"51.0805"</f>
        <v>51.0805</v>
      </c>
      <c r="G1484" s="8" t="s">
        <v>3059</v>
      </c>
    </row>
    <row r="1485" spans="1:7" x14ac:dyDescent="0.35">
      <c r="A1485" t="str">
        <f>"51.0806"</f>
        <v>51.0806</v>
      </c>
      <c r="B1485" t="s">
        <v>3060</v>
      </c>
      <c r="C1485" s="8" t="s">
        <v>3061</v>
      </c>
      <c r="D1485" t="s">
        <v>250</v>
      </c>
      <c r="E1485" t="s">
        <v>264</v>
      </c>
      <c r="F1485" t="str">
        <f>"51.0806"</f>
        <v>51.0806</v>
      </c>
      <c r="G1485" s="8" t="s">
        <v>3062</v>
      </c>
    </row>
    <row r="1486" spans="1:7" ht="43.5" x14ac:dyDescent="0.35">
      <c r="A1486" t="str">
        <f>"51.0808"</f>
        <v>51.0808</v>
      </c>
      <c r="B1486" t="s">
        <v>3063</v>
      </c>
      <c r="C1486" s="8" t="s">
        <v>3064</v>
      </c>
      <c r="D1486" t="s">
        <v>295</v>
      </c>
      <c r="E1486" t="s">
        <v>251</v>
      </c>
      <c r="F1486" t="str">
        <f>"01.8301"</f>
        <v>01.8301</v>
      </c>
      <c r="G1486" s="8" t="s">
        <v>3064</v>
      </c>
    </row>
    <row r="1487" spans="1:7" x14ac:dyDescent="0.35">
      <c r="A1487" t="str">
        <f>"51.0809"</f>
        <v>51.0809</v>
      </c>
      <c r="B1487" t="s">
        <v>3065</v>
      </c>
      <c r="C1487" s="8" t="s">
        <v>3066</v>
      </c>
      <c r="D1487" t="s">
        <v>250</v>
      </c>
      <c r="E1487" t="s">
        <v>251</v>
      </c>
      <c r="F1487" t="str">
        <f>"51.0809"</f>
        <v>51.0809</v>
      </c>
      <c r="G1487" s="8" t="s">
        <v>3066</v>
      </c>
    </row>
    <row r="1488" spans="1:7" ht="29" x14ac:dyDescent="0.35">
      <c r="A1488" t="str">
        <f>"51.0810"</f>
        <v>51.0810</v>
      </c>
      <c r="B1488" t="s">
        <v>3067</v>
      </c>
      <c r="C1488" s="8" t="s">
        <v>3068</v>
      </c>
      <c r="D1488" t="s">
        <v>250</v>
      </c>
      <c r="E1488" t="s">
        <v>251</v>
      </c>
      <c r="F1488" t="str">
        <f>"51.0810"</f>
        <v>51.0810</v>
      </c>
      <c r="G1488" s="8" t="s">
        <v>3068</v>
      </c>
    </row>
    <row r="1489" spans="1:7" x14ac:dyDescent="0.35">
      <c r="A1489" t="str">
        <f>"51.0811"</f>
        <v>51.0811</v>
      </c>
      <c r="B1489" t="s">
        <v>3069</v>
      </c>
      <c r="C1489" s="8" t="s">
        <v>3070</v>
      </c>
      <c r="D1489" t="s">
        <v>250</v>
      </c>
      <c r="E1489" t="s">
        <v>251</v>
      </c>
      <c r="F1489" t="str">
        <f>"51.0811"</f>
        <v>51.0811</v>
      </c>
      <c r="G1489" s="8" t="s">
        <v>3070</v>
      </c>
    </row>
    <row r="1490" spans="1:7" x14ac:dyDescent="0.35">
      <c r="A1490" t="str">
        <f>"51.0812"</f>
        <v>51.0812</v>
      </c>
      <c r="B1490" t="s">
        <v>3071</v>
      </c>
      <c r="C1490" s="8" t="s">
        <v>3072</v>
      </c>
      <c r="D1490" t="s">
        <v>250</v>
      </c>
      <c r="E1490" t="s">
        <v>251</v>
      </c>
      <c r="F1490" t="str">
        <f>"51.0812"</f>
        <v>51.0812</v>
      </c>
      <c r="G1490" s="8" t="s">
        <v>3072</v>
      </c>
    </row>
    <row r="1491" spans="1:7" x14ac:dyDescent="0.35">
      <c r="A1491" t="str">
        <f>"51.0813"</f>
        <v>51.0813</v>
      </c>
      <c r="B1491" t="s">
        <v>3073</v>
      </c>
      <c r="C1491" s="8" t="s">
        <v>3074</v>
      </c>
      <c r="D1491" t="s">
        <v>250</v>
      </c>
      <c r="E1491" t="s">
        <v>251</v>
      </c>
      <c r="F1491" t="str">
        <f>"51.0813"</f>
        <v>51.0813</v>
      </c>
      <c r="G1491" s="8" t="s">
        <v>3075</v>
      </c>
    </row>
    <row r="1492" spans="1:7" x14ac:dyDescent="0.35">
      <c r="A1492" t="str">
        <f>"51.0814"</f>
        <v>51.0814</v>
      </c>
      <c r="B1492" t="s">
        <v>3076</v>
      </c>
      <c r="C1492" s="8" t="s">
        <v>3077</v>
      </c>
      <c r="D1492" t="s">
        <v>250</v>
      </c>
      <c r="E1492" t="s">
        <v>251</v>
      </c>
      <c r="F1492" t="str">
        <f>"51.0814"</f>
        <v>51.0814</v>
      </c>
      <c r="G1492" s="8" t="s">
        <v>3077</v>
      </c>
    </row>
    <row r="1493" spans="1:7" x14ac:dyDescent="0.35">
      <c r="A1493" t="str">
        <f>"51.0815"</f>
        <v>51.0815</v>
      </c>
      <c r="B1493" t="s">
        <v>3078</v>
      </c>
      <c r="C1493" s="8" t="s">
        <v>3079</v>
      </c>
      <c r="D1493" t="s">
        <v>250</v>
      </c>
      <c r="E1493" t="s">
        <v>251</v>
      </c>
      <c r="F1493" t="str">
        <f>"51.0815"</f>
        <v>51.0815</v>
      </c>
      <c r="G1493" s="8" t="s">
        <v>3079</v>
      </c>
    </row>
    <row r="1494" spans="1:7" x14ac:dyDescent="0.35">
      <c r="A1494" t="str">
        <f>"51.0816"</f>
        <v>51.0816</v>
      </c>
      <c r="B1494" t="s">
        <v>3080</v>
      </c>
      <c r="C1494" s="8" t="s">
        <v>3081</v>
      </c>
      <c r="D1494" t="s">
        <v>250</v>
      </c>
      <c r="E1494" t="s">
        <v>251</v>
      </c>
      <c r="F1494" t="str">
        <f>"51.0816"</f>
        <v>51.0816</v>
      </c>
      <c r="G1494" s="8" t="s">
        <v>3081</v>
      </c>
    </row>
    <row r="1495" spans="1:7" x14ac:dyDescent="0.35">
      <c r="D1495" t="s">
        <v>275</v>
      </c>
      <c r="E1495" t="s">
        <v>251</v>
      </c>
      <c r="F1495" t="str">
        <f>"51.0817"</f>
        <v>51.0817</v>
      </c>
      <c r="G1495" s="8" t="s">
        <v>301</v>
      </c>
    </row>
    <row r="1496" spans="1:7" ht="29" x14ac:dyDescent="0.35">
      <c r="A1496" t="str">
        <f>"51.0899"</f>
        <v>51.0899</v>
      </c>
      <c r="B1496" t="s">
        <v>3082</v>
      </c>
      <c r="C1496" s="8" t="s">
        <v>3083</v>
      </c>
      <c r="D1496" t="s">
        <v>250</v>
      </c>
      <c r="E1496" t="s">
        <v>251</v>
      </c>
      <c r="F1496" t="str">
        <f>"51.0899"</f>
        <v>51.0899</v>
      </c>
      <c r="G1496" s="8" t="s">
        <v>3083</v>
      </c>
    </row>
    <row r="1497" spans="1:7" x14ac:dyDescent="0.35">
      <c r="A1497" t="str">
        <f>"51.0901"</f>
        <v>51.0901</v>
      </c>
      <c r="B1497" t="s">
        <v>3084</v>
      </c>
      <c r="C1497" s="8" t="s">
        <v>3085</v>
      </c>
      <c r="D1497" t="s">
        <v>250</v>
      </c>
      <c r="E1497" t="s">
        <v>251</v>
      </c>
      <c r="F1497" t="str">
        <f>"51.0901"</f>
        <v>51.0901</v>
      </c>
      <c r="G1497" s="8" t="s">
        <v>3085</v>
      </c>
    </row>
    <row r="1498" spans="1:7" ht="29" x14ac:dyDescent="0.35">
      <c r="A1498" t="str">
        <f>"51.0902"</f>
        <v>51.0902</v>
      </c>
      <c r="B1498" t="s">
        <v>3086</v>
      </c>
      <c r="C1498" s="8" t="s">
        <v>3087</v>
      </c>
      <c r="D1498" t="s">
        <v>250</v>
      </c>
      <c r="E1498" t="s">
        <v>251</v>
      </c>
      <c r="F1498" t="str">
        <f>"51.0902"</f>
        <v>51.0902</v>
      </c>
      <c r="G1498" s="8" t="s">
        <v>3087</v>
      </c>
    </row>
    <row r="1499" spans="1:7" ht="29" x14ac:dyDescent="0.35">
      <c r="A1499" t="str">
        <f>"51.0903"</f>
        <v>51.0903</v>
      </c>
      <c r="B1499" t="s">
        <v>3088</v>
      </c>
      <c r="C1499" s="8" t="s">
        <v>3089</v>
      </c>
      <c r="D1499" t="s">
        <v>250</v>
      </c>
      <c r="E1499" t="s">
        <v>251</v>
      </c>
      <c r="F1499" t="str">
        <f>"51.0903"</f>
        <v>51.0903</v>
      </c>
      <c r="G1499" s="8" t="s">
        <v>3089</v>
      </c>
    </row>
    <row r="1500" spans="1:7" ht="29" x14ac:dyDescent="0.35">
      <c r="A1500" t="str">
        <f>"51.0904"</f>
        <v>51.0904</v>
      </c>
      <c r="B1500" t="s">
        <v>3090</v>
      </c>
      <c r="C1500" s="8" t="s">
        <v>3091</v>
      </c>
      <c r="D1500" t="s">
        <v>250</v>
      </c>
      <c r="E1500" t="s">
        <v>251</v>
      </c>
      <c r="F1500" t="str">
        <f>"51.0904"</f>
        <v>51.0904</v>
      </c>
      <c r="G1500" s="8" t="s">
        <v>3091</v>
      </c>
    </row>
    <row r="1501" spans="1:7" x14ac:dyDescent="0.35">
      <c r="A1501" t="str">
        <f>"51.0905"</f>
        <v>51.0905</v>
      </c>
      <c r="B1501" t="s">
        <v>3092</v>
      </c>
      <c r="C1501" s="8" t="s">
        <v>3093</v>
      </c>
      <c r="D1501" t="s">
        <v>250</v>
      </c>
      <c r="E1501" t="s">
        <v>251</v>
      </c>
      <c r="F1501" t="str">
        <f>"51.0905"</f>
        <v>51.0905</v>
      </c>
      <c r="G1501" s="8" t="s">
        <v>3093</v>
      </c>
    </row>
    <row r="1502" spans="1:7" x14ac:dyDescent="0.35">
      <c r="A1502" t="str">
        <f>"51.0906"</f>
        <v>51.0906</v>
      </c>
      <c r="B1502" t="s">
        <v>3094</v>
      </c>
      <c r="C1502" s="8" t="s">
        <v>3095</v>
      </c>
      <c r="D1502" t="s">
        <v>250</v>
      </c>
      <c r="E1502" t="s">
        <v>251</v>
      </c>
      <c r="F1502" t="str">
        <f>"51.0906"</f>
        <v>51.0906</v>
      </c>
      <c r="G1502" s="8" t="s">
        <v>3095</v>
      </c>
    </row>
    <row r="1503" spans="1:7" ht="29" x14ac:dyDescent="0.35">
      <c r="A1503" t="str">
        <f>"51.0907"</f>
        <v>51.0907</v>
      </c>
      <c r="B1503" t="s">
        <v>3096</v>
      </c>
      <c r="C1503" s="8" t="s">
        <v>3097</v>
      </c>
      <c r="D1503" t="s">
        <v>250</v>
      </c>
      <c r="E1503" t="s">
        <v>251</v>
      </c>
      <c r="F1503" t="str">
        <f>"51.0907"</f>
        <v>51.0907</v>
      </c>
      <c r="G1503" s="8" t="s">
        <v>3097</v>
      </c>
    </row>
    <row r="1504" spans="1:7" x14ac:dyDescent="0.35">
      <c r="A1504" t="str">
        <f>"51.0908"</f>
        <v>51.0908</v>
      </c>
      <c r="B1504" t="s">
        <v>3098</v>
      </c>
      <c r="C1504" s="8" t="s">
        <v>3099</v>
      </c>
      <c r="D1504" t="s">
        <v>250</v>
      </c>
      <c r="E1504" t="s">
        <v>251</v>
      </c>
      <c r="F1504" t="str">
        <f>"51.0908"</f>
        <v>51.0908</v>
      </c>
      <c r="G1504" s="8" t="s">
        <v>3099</v>
      </c>
    </row>
    <row r="1505" spans="1:7" x14ac:dyDescent="0.35">
      <c r="A1505" t="str">
        <f>"51.0909"</f>
        <v>51.0909</v>
      </c>
      <c r="B1505" t="s">
        <v>3100</v>
      </c>
      <c r="C1505" s="8" t="s">
        <v>3101</v>
      </c>
      <c r="D1505" t="s">
        <v>250</v>
      </c>
      <c r="E1505" t="s">
        <v>251</v>
      </c>
      <c r="F1505" t="str">
        <f>"51.0909"</f>
        <v>51.0909</v>
      </c>
      <c r="G1505" s="8" t="s">
        <v>3101</v>
      </c>
    </row>
    <row r="1506" spans="1:7" ht="43.5" x14ac:dyDescent="0.35">
      <c r="A1506" t="str">
        <f>"51.0910"</f>
        <v>51.0910</v>
      </c>
      <c r="B1506" t="s">
        <v>3102</v>
      </c>
      <c r="C1506" s="8" t="s">
        <v>3103</v>
      </c>
      <c r="D1506" t="s">
        <v>250</v>
      </c>
      <c r="E1506" t="s">
        <v>251</v>
      </c>
      <c r="F1506" t="str">
        <f>"51.0910"</f>
        <v>51.0910</v>
      </c>
      <c r="G1506" s="8" t="s">
        <v>3103</v>
      </c>
    </row>
    <row r="1507" spans="1:7" ht="29" x14ac:dyDescent="0.35">
      <c r="A1507" t="str">
        <f>"51.0911"</f>
        <v>51.0911</v>
      </c>
      <c r="B1507" t="s">
        <v>3104</v>
      </c>
      <c r="C1507" s="8" t="s">
        <v>3105</v>
      </c>
      <c r="D1507" t="s">
        <v>250</v>
      </c>
      <c r="E1507" t="s">
        <v>251</v>
      </c>
      <c r="F1507" t="str">
        <f>"51.0911"</f>
        <v>51.0911</v>
      </c>
      <c r="G1507" s="8" t="s">
        <v>3105</v>
      </c>
    </row>
    <row r="1508" spans="1:7" x14ac:dyDescent="0.35">
      <c r="A1508" t="str">
        <f>"51.0912"</f>
        <v>51.0912</v>
      </c>
      <c r="B1508" t="s">
        <v>3106</v>
      </c>
      <c r="C1508" s="8" t="s">
        <v>3107</v>
      </c>
      <c r="D1508" t="s">
        <v>250</v>
      </c>
      <c r="E1508" t="s">
        <v>251</v>
      </c>
      <c r="F1508" t="str">
        <f>"51.0912"</f>
        <v>51.0912</v>
      </c>
      <c r="G1508" s="8" t="s">
        <v>3107</v>
      </c>
    </row>
    <row r="1509" spans="1:7" x14ac:dyDescent="0.35">
      <c r="A1509" t="str">
        <f>"51.0913"</f>
        <v>51.0913</v>
      </c>
      <c r="B1509" t="s">
        <v>3108</v>
      </c>
      <c r="C1509" s="8" t="s">
        <v>3109</v>
      </c>
      <c r="D1509" t="s">
        <v>250</v>
      </c>
      <c r="E1509" t="s">
        <v>251</v>
      </c>
      <c r="F1509" t="str">
        <f>"51.0913"</f>
        <v>51.0913</v>
      </c>
      <c r="G1509" s="8" t="s">
        <v>3109</v>
      </c>
    </row>
    <row r="1510" spans="1:7" x14ac:dyDescent="0.35">
      <c r="A1510" t="str">
        <f>"51.0914"</f>
        <v>51.0914</v>
      </c>
      <c r="B1510" t="s">
        <v>3110</v>
      </c>
      <c r="C1510" s="8" t="s">
        <v>3111</v>
      </c>
      <c r="D1510" t="s">
        <v>250</v>
      </c>
      <c r="E1510" t="s">
        <v>251</v>
      </c>
      <c r="F1510" t="str">
        <f>"51.0914"</f>
        <v>51.0914</v>
      </c>
      <c r="G1510" s="8" t="s">
        <v>3111</v>
      </c>
    </row>
    <row r="1511" spans="1:7" ht="29" x14ac:dyDescent="0.35">
      <c r="A1511" t="str">
        <f>"51.0915"</f>
        <v>51.0915</v>
      </c>
      <c r="B1511" t="s">
        <v>3112</v>
      </c>
      <c r="C1511" s="8" t="s">
        <v>3113</v>
      </c>
      <c r="D1511" t="s">
        <v>250</v>
      </c>
      <c r="E1511" t="s">
        <v>251</v>
      </c>
      <c r="F1511" t="str">
        <f>"51.0915"</f>
        <v>51.0915</v>
      </c>
      <c r="G1511" s="8" t="s">
        <v>3113</v>
      </c>
    </row>
    <row r="1512" spans="1:7" ht="29" x14ac:dyDescent="0.35">
      <c r="A1512" t="str">
        <f>"51.0916"</f>
        <v>51.0916</v>
      </c>
      <c r="B1512" t="s">
        <v>3114</v>
      </c>
      <c r="C1512" s="8" t="s">
        <v>3115</v>
      </c>
      <c r="D1512" t="s">
        <v>250</v>
      </c>
      <c r="E1512" t="s">
        <v>251</v>
      </c>
      <c r="F1512" t="str">
        <f>"51.0916"</f>
        <v>51.0916</v>
      </c>
      <c r="G1512" s="8" t="s">
        <v>3115</v>
      </c>
    </row>
    <row r="1513" spans="1:7" x14ac:dyDescent="0.35">
      <c r="A1513" t="str">
        <f>"51.0917"</f>
        <v>51.0917</v>
      </c>
      <c r="B1513" t="s">
        <v>3116</v>
      </c>
      <c r="C1513" s="8" t="s">
        <v>3117</v>
      </c>
      <c r="D1513" t="s">
        <v>250</v>
      </c>
      <c r="E1513" t="s">
        <v>251</v>
      </c>
      <c r="F1513" t="str">
        <f>"51.0917"</f>
        <v>51.0917</v>
      </c>
      <c r="G1513" s="8" t="s">
        <v>3117</v>
      </c>
    </row>
    <row r="1514" spans="1:7" x14ac:dyDescent="0.35">
      <c r="A1514" t="str">
        <f>"51.0918"</f>
        <v>51.0918</v>
      </c>
      <c r="B1514" t="s">
        <v>3118</v>
      </c>
      <c r="C1514" s="8" t="s">
        <v>3119</v>
      </c>
      <c r="D1514" t="s">
        <v>250</v>
      </c>
      <c r="E1514" t="s">
        <v>251</v>
      </c>
      <c r="F1514" t="str">
        <f>"51.0918"</f>
        <v>51.0918</v>
      </c>
      <c r="G1514" s="8" t="s">
        <v>3119</v>
      </c>
    </row>
    <row r="1515" spans="1:7" x14ac:dyDescent="0.35">
      <c r="A1515" t="str">
        <f>"51.0919"</f>
        <v>51.0919</v>
      </c>
      <c r="B1515" t="s">
        <v>3120</v>
      </c>
      <c r="C1515" s="8" t="s">
        <v>3121</v>
      </c>
      <c r="D1515" t="s">
        <v>250</v>
      </c>
      <c r="E1515" t="s">
        <v>264</v>
      </c>
      <c r="F1515" t="str">
        <f>"51.0919"</f>
        <v>51.0919</v>
      </c>
      <c r="G1515" s="8" t="s">
        <v>3122</v>
      </c>
    </row>
    <row r="1516" spans="1:7" ht="29" x14ac:dyDescent="0.35">
      <c r="A1516" t="str">
        <f>"51.0920"</f>
        <v>51.0920</v>
      </c>
      <c r="B1516" t="s">
        <v>3123</v>
      </c>
      <c r="C1516" s="8" t="s">
        <v>3124</v>
      </c>
      <c r="D1516" t="s">
        <v>250</v>
      </c>
      <c r="E1516" t="s">
        <v>251</v>
      </c>
      <c r="F1516" t="str">
        <f>"51.0920"</f>
        <v>51.0920</v>
      </c>
      <c r="G1516" s="8" t="s">
        <v>3124</v>
      </c>
    </row>
    <row r="1517" spans="1:7" x14ac:dyDescent="0.35">
      <c r="D1517" t="s">
        <v>275</v>
      </c>
      <c r="E1517" t="s">
        <v>251</v>
      </c>
      <c r="F1517" t="str">
        <f>"51.0921"</f>
        <v>51.0921</v>
      </c>
      <c r="G1517" s="8" t="s">
        <v>3125</v>
      </c>
    </row>
    <row r="1518" spans="1:7" ht="29" x14ac:dyDescent="0.35">
      <c r="D1518" t="s">
        <v>275</v>
      </c>
      <c r="E1518" t="s">
        <v>251</v>
      </c>
      <c r="F1518" t="str">
        <f>"51.0922"</f>
        <v>51.0922</v>
      </c>
      <c r="G1518" s="8" t="s">
        <v>3126</v>
      </c>
    </row>
    <row r="1519" spans="1:7" x14ac:dyDescent="0.35">
      <c r="D1519" t="s">
        <v>275</v>
      </c>
      <c r="E1519" t="s">
        <v>251</v>
      </c>
      <c r="F1519" t="str">
        <f>"51.0923"</f>
        <v>51.0923</v>
      </c>
      <c r="G1519" s="8" t="s">
        <v>3127</v>
      </c>
    </row>
    <row r="1520" spans="1:7" x14ac:dyDescent="0.35">
      <c r="D1520" t="s">
        <v>275</v>
      </c>
      <c r="E1520" t="s">
        <v>251</v>
      </c>
      <c r="F1520" t="str">
        <f>"51.0924"</f>
        <v>51.0924</v>
      </c>
      <c r="G1520" s="8" t="s">
        <v>301</v>
      </c>
    </row>
    <row r="1521" spans="1:7" ht="29" x14ac:dyDescent="0.35">
      <c r="A1521" t="str">
        <f>"51.0999"</f>
        <v>51.0999</v>
      </c>
      <c r="B1521" t="s">
        <v>3128</v>
      </c>
      <c r="C1521" s="8" t="s">
        <v>3129</v>
      </c>
      <c r="D1521" t="s">
        <v>250</v>
      </c>
      <c r="E1521" t="s">
        <v>251</v>
      </c>
      <c r="F1521" t="str">
        <f>"51.0999"</f>
        <v>51.0999</v>
      </c>
      <c r="G1521" s="8" t="s">
        <v>3129</v>
      </c>
    </row>
    <row r="1522" spans="1:7" x14ac:dyDescent="0.35">
      <c r="A1522" t="str">
        <f>"51.1001"</f>
        <v>51.1001</v>
      </c>
      <c r="B1522" t="s">
        <v>3130</v>
      </c>
      <c r="C1522" s="8" t="s">
        <v>3131</v>
      </c>
      <c r="D1522" t="s">
        <v>250</v>
      </c>
      <c r="E1522" t="s">
        <v>251</v>
      </c>
      <c r="F1522" t="str">
        <f>"51.1001"</f>
        <v>51.1001</v>
      </c>
      <c r="G1522" s="8" t="s">
        <v>3131</v>
      </c>
    </row>
    <row r="1523" spans="1:7" x14ac:dyDescent="0.35">
      <c r="A1523" t="str">
        <f>"51.1002"</f>
        <v>51.1002</v>
      </c>
      <c r="B1523" t="s">
        <v>3132</v>
      </c>
      <c r="C1523" s="8" t="s">
        <v>3133</v>
      </c>
      <c r="D1523" t="s">
        <v>250</v>
      </c>
      <c r="E1523" t="s">
        <v>251</v>
      </c>
      <c r="F1523" t="str">
        <f>"51.1002"</f>
        <v>51.1002</v>
      </c>
      <c r="G1523" s="8" t="s">
        <v>3133</v>
      </c>
    </row>
    <row r="1524" spans="1:7" x14ac:dyDescent="0.35">
      <c r="A1524" t="str">
        <f>"51.1003"</f>
        <v>51.1003</v>
      </c>
      <c r="B1524" t="s">
        <v>3134</v>
      </c>
      <c r="C1524" s="8" t="s">
        <v>3135</v>
      </c>
      <c r="D1524" t="s">
        <v>250</v>
      </c>
      <c r="E1524" t="s">
        <v>251</v>
      </c>
      <c r="F1524" t="str">
        <f>"51.1003"</f>
        <v>51.1003</v>
      </c>
      <c r="G1524" s="8" t="s">
        <v>3135</v>
      </c>
    </row>
    <row r="1525" spans="1:7" x14ac:dyDescent="0.35">
      <c r="A1525" t="str">
        <f>"51.1004"</f>
        <v>51.1004</v>
      </c>
      <c r="B1525" t="s">
        <v>3136</v>
      </c>
      <c r="C1525" s="8" t="s">
        <v>3137</v>
      </c>
      <c r="D1525" t="s">
        <v>250</v>
      </c>
      <c r="E1525" t="s">
        <v>251</v>
      </c>
      <c r="F1525" t="str">
        <f>"51.1004"</f>
        <v>51.1004</v>
      </c>
      <c r="G1525" s="8" t="s">
        <v>3137</v>
      </c>
    </row>
    <row r="1526" spans="1:7" ht="29" x14ac:dyDescent="0.35">
      <c r="A1526" t="str">
        <f>"51.1005"</f>
        <v>51.1005</v>
      </c>
      <c r="B1526" t="s">
        <v>3138</v>
      </c>
      <c r="C1526" s="8" t="s">
        <v>3139</v>
      </c>
      <c r="D1526" t="s">
        <v>250</v>
      </c>
      <c r="E1526" t="s">
        <v>251</v>
      </c>
      <c r="F1526" t="str">
        <f>"51.1005"</f>
        <v>51.1005</v>
      </c>
      <c r="G1526" s="8" t="s">
        <v>3139</v>
      </c>
    </row>
    <row r="1527" spans="1:7" ht="29" x14ac:dyDescent="0.35">
      <c r="A1527" t="str">
        <f>"51.1006"</f>
        <v>51.1006</v>
      </c>
      <c r="B1527" t="s">
        <v>3140</v>
      </c>
      <c r="C1527" s="8" t="s">
        <v>3141</v>
      </c>
      <c r="D1527" t="s">
        <v>250</v>
      </c>
      <c r="E1527" t="s">
        <v>251</v>
      </c>
      <c r="F1527" t="str">
        <f>"51.1006"</f>
        <v>51.1006</v>
      </c>
      <c r="G1527" s="8" t="s">
        <v>3141</v>
      </c>
    </row>
    <row r="1528" spans="1:7" x14ac:dyDescent="0.35">
      <c r="A1528" t="str">
        <f>"51.1007"</f>
        <v>51.1007</v>
      </c>
      <c r="B1528" t="s">
        <v>3142</v>
      </c>
      <c r="C1528" s="8" t="s">
        <v>3143</v>
      </c>
      <c r="D1528" t="s">
        <v>250</v>
      </c>
      <c r="E1528" t="s">
        <v>251</v>
      </c>
      <c r="F1528" t="str">
        <f>"51.1007"</f>
        <v>51.1007</v>
      </c>
      <c r="G1528" s="8" t="s">
        <v>3143</v>
      </c>
    </row>
    <row r="1529" spans="1:7" x14ac:dyDescent="0.35">
      <c r="A1529" t="str">
        <f>"51.1008"</f>
        <v>51.1008</v>
      </c>
      <c r="B1529" t="s">
        <v>3144</v>
      </c>
      <c r="C1529" s="8" t="s">
        <v>3145</v>
      </c>
      <c r="D1529" t="s">
        <v>250</v>
      </c>
      <c r="E1529" t="s">
        <v>251</v>
      </c>
      <c r="F1529" t="str">
        <f>"51.1008"</f>
        <v>51.1008</v>
      </c>
      <c r="G1529" s="8" t="s">
        <v>3145</v>
      </c>
    </row>
    <row r="1530" spans="1:7" x14ac:dyDescent="0.35">
      <c r="A1530" t="str">
        <f>"51.1009"</f>
        <v>51.1009</v>
      </c>
      <c r="B1530" t="s">
        <v>3146</v>
      </c>
      <c r="C1530" s="8" t="s">
        <v>3147</v>
      </c>
      <c r="D1530" t="s">
        <v>250</v>
      </c>
      <c r="E1530" t="s">
        <v>251</v>
      </c>
      <c r="F1530" t="str">
        <f>"51.1009"</f>
        <v>51.1009</v>
      </c>
      <c r="G1530" s="8" t="s">
        <v>3147</v>
      </c>
    </row>
    <row r="1531" spans="1:7" ht="29" x14ac:dyDescent="0.35">
      <c r="A1531" t="str">
        <f>"51.1010"</f>
        <v>51.1010</v>
      </c>
      <c r="B1531" t="s">
        <v>3148</v>
      </c>
      <c r="C1531" s="8" t="s">
        <v>3149</v>
      </c>
      <c r="D1531" t="s">
        <v>250</v>
      </c>
      <c r="E1531" t="s">
        <v>251</v>
      </c>
      <c r="F1531" t="str">
        <f>"51.1010"</f>
        <v>51.1010</v>
      </c>
      <c r="G1531" s="8" t="s">
        <v>3149</v>
      </c>
    </row>
    <row r="1532" spans="1:7" x14ac:dyDescent="0.35">
      <c r="A1532" t="str">
        <f>"51.1011"</f>
        <v>51.1011</v>
      </c>
      <c r="B1532" t="s">
        <v>3150</v>
      </c>
      <c r="C1532" s="8" t="s">
        <v>3151</v>
      </c>
      <c r="D1532" t="s">
        <v>250</v>
      </c>
      <c r="E1532" t="s">
        <v>251</v>
      </c>
      <c r="F1532" t="str">
        <f>"51.1011"</f>
        <v>51.1011</v>
      </c>
      <c r="G1532" s="8" t="s">
        <v>3151</v>
      </c>
    </row>
    <row r="1533" spans="1:7" x14ac:dyDescent="0.35">
      <c r="A1533" t="str">
        <f>"51.1012"</f>
        <v>51.1012</v>
      </c>
      <c r="B1533" t="s">
        <v>3152</v>
      </c>
      <c r="C1533" s="8" t="s">
        <v>3153</v>
      </c>
      <c r="D1533" t="s">
        <v>250</v>
      </c>
      <c r="E1533" t="s">
        <v>251</v>
      </c>
      <c r="F1533" t="str">
        <f>"51.1012"</f>
        <v>51.1012</v>
      </c>
      <c r="G1533" s="8" t="s">
        <v>3153</v>
      </c>
    </row>
    <row r="1534" spans="1:7" ht="29" x14ac:dyDescent="0.35">
      <c r="A1534" t="str">
        <f>"51.1099"</f>
        <v>51.1099</v>
      </c>
      <c r="B1534" t="s">
        <v>3154</v>
      </c>
      <c r="C1534" s="8" t="s">
        <v>3155</v>
      </c>
      <c r="D1534" t="s">
        <v>250</v>
      </c>
      <c r="E1534" t="s">
        <v>251</v>
      </c>
      <c r="F1534" t="str">
        <f>"51.1099"</f>
        <v>51.1099</v>
      </c>
      <c r="G1534" s="8" t="s">
        <v>3155</v>
      </c>
    </row>
    <row r="1535" spans="1:7" x14ac:dyDescent="0.35">
      <c r="A1535" t="str">
        <f>"51.1101"</f>
        <v>51.1101</v>
      </c>
      <c r="B1535" t="s">
        <v>3156</v>
      </c>
      <c r="C1535" s="8" t="s">
        <v>3157</v>
      </c>
      <c r="D1535" t="s">
        <v>250</v>
      </c>
      <c r="E1535" t="s">
        <v>251</v>
      </c>
      <c r="F1535" t="str">
        <f>"51.1101"</f>
        <v>51.1101</v>
      </c>
      <c r="G1535" s="8" t="s">
        <v>3157</v>
      </c>
    </row>
    <row r="1536" spans="1:7" x14ac:dyDescent="0.35">
      <c r="A1536" t="str">
        <f>"51.1102"</f>
        <v>51.1102</v>
      </c>
      <c r="B1536" t="s">
        <v>3158</v>
      </c>
      <c r="C1536" s="8" t="s">
        <v>3159</v>
      </c>
      <c r="D1536" t="s">
        <v>250</v>
      </c>
      <c r="E1536" t="s">
        <v>251</v>
      </c>
      <c r="F1536" t="str">
        <f>"51.1102"</f>
        <v>51.1102</v>
      </c>
      <c r="G1536" s="8" t="s">
        <v>3159</v>
      </c>
    </row>
    <row r="1537" spans="1:7" x14ac:dyDescent="0.35">
      <c r="A1537" t="str">
        <f>"51.1103"</f>
        <v>51.1103</v>
      </c>
      <c r="B1537" t="s">
        <v>3160</v>
      </c>
      <c r="C1537" s="8" t="s">
        <v>3161</v>
      </c>
      <c r="D1537" t="s">
        <v>250</v>
      </c>
      <c r="E1537" t="s">
        <v>251</v>
      </c>
      <c r="F1537" t="str">
        <f>"51.1103"</f>
        <v>51.1103</v>
      </c>
      <c r="G1537" s="8" t="s">
        <v>3161</v>
      </c>
    </row>
    <row r="1538" spans="1:7" x14ac:dyDescent="0.35">
      <c r="A1538" t="str">
        <f>"51.1104"</f>
        <v>51.1104</v>
      </c>
      <c r="B1538" t="s">
        <v>3162</v>
      </c>
      <c r="C1538" s="8" t="s">
        <v>3163</v>
      </c>
      <c r="D1538" t="s">
        <v>295</v>
      </c>
      <c r="E1538" t="s">
        <v>251</v>
      </c>
      <c r="F1538" t="str">
        <f>"01.1302"</f>
        <v>01.1302</v>
      </c>
      <c r="G1538" s="8" t="s">
        <v>3163</v>
      </c>
    </row>
    <row r="1539" spans="1:7" x14ac:dyDescent="0.35">
      <c r="A1539" t="str">
        <f>"51.1105"</f>
        <v>51.1105</v>
      </c>
      <c r="B1539" t="s">
        <v>3164</v>
      </c>
      <c r="C1539" s="8" t="s">
        <v>3165</v>
      </c>
      <c r="D1539" t="s">
        <v>250</v>
      </c>
      <c r="E1539" t="s">
        <v>251</v>
      </c>
      <c r="F1539" t="str">
        <f>"51.1105"</f>
        <v>51.1105</v>
      </c>
      <c r="G1539" s="8" t="s">
        <v>3165</v>
      </c>
    </row>
    <row r="1540" spans="1:7" x14ac:dyDescent="0.35">
      <c r="A1540" t="str">
        <f>"51.1106"</f>
        <v>51.1106</v>
      </c>
      <c r="B1540" t="s">
        <v>3166</v>
      </c>
      <c r="C1540" s="8" t="s">
        <v>3167</v>
      </c>
      <c r="D1540" t="s">
        <v>250</v>
      </c>
      <c r="E1540" t="s">
        <v>251</v>
      </c>
      <c r="F1540" t="str">
        <f>"51.1106"</f>
        <v>51.1106</v>
      </c>
      <c r="G1540" s="8" t="s">
        <v>3167</v>
      </c>
    </row>
    <row r="1541" spans="1:7" x14ac:dyDescent="0.35">
      <c r="A1541" t="str">
        <f>"51.1107"</f>
        <v>51.1107</v>
      </c>
      <c r="B1541" t="s">
        <v>3168</v>
      </c>
      <c r="C1541" s="8" t="s">
        <v>3169</v>
      </c>
      <c r="D1541" t="s">
        <v>250</v>
      </c>
      <c r="E1541" t="s">
        <v>251</v>
      </c>
      <c r="F1541" t="str">
        <f>"51.1107"</f>
        <v>51.1107</v>
      </c>
      <c r="G1541" s="8" t="s">
        <v>3169</v>
      </c>
    </row>
    <row r="1542" spans="1:7" x14ac:dyDescent="0.35">
      <c r="A1542" t="str">
        <f>"51.1108"</f>
        <v>51.1108</v>
      </c>
      <c r="B1542" t="s">
        <v>3170</v>
      </c>
      <c r="C1542" s="8" t="s">
        <v>3171</v>
      </c>
      <c r="D1542" t="s">
        <v>250</v>
      </c>
      <c r="E1542" t="s">
        <v>251</v>
      </c>
      <c r="F1542" t="str">
        <f>"51.1108"</f>
        <v>51.1108</v>
      </c>
      <c r="G1542" s="8" t="s">
        <v>3171</v>
      </c>
    </row>
    <row r="1543" spans="1:7" x14ac:dyDescent="0.35">
      <c r="A1543" t="str">
        <f>"51.1109"</f>
        <v>51.1109</v>
      </c>
      <c r="B1543" t="s">
        <v>3172</v>
      </c>
      <c r="C1543" s="8" t="s">
        <v>3173</v>
      </c>
      <c r="D1543" t="s">
        <v>250</v>
      </c>
      <c r="E1543" t="s">
        <v>251</v>
      </c>
      <c r="F1543" t="str">
        <f>"51.1109"</f>
        <v>51.1109</v>
      </c>
      <c r="G1543" s="8" t="s">
        <v>3173</v>
      </c>
    </row>
    <row r="1544" spans="1:7" x14ac:dyDescent="0.35">
      <c r="D1544" t="s">
        <v>275</v>
      </c>
      <c r="E1544" t="s">
        <v>251</v>
      </c>
      <c r="F1544" t="str">
        <f>"51.1110"</f>
        <v>51.1110</v>
      </c>
      <c r="G1544" s="8" t="s">
        <v>3174</v>
      </c>
    </row>
    <row r="1545" spans="1:7" x14ac:dyDescent="0.35">
      <c r="D1545" t="s">
        <v>275</v>
      </c>
      <c r="E1545" t="s">
        <v>251</v>
      </c>
      <c r="F1545" t="str">
        <f>"51.1111"</f>
        <v>51.1111</v>
      </c>
      <c r="G1545" s="8" t="s">
        <v>3175</v>
      </c>
    </row>
    <row r="1546" spans="1:7" ht="29" x14ac:dyDescent="0.35">
      <c r="A1546" t="str">
        <f>"51.1199"</f>
        <v>51.1199</v>
      </c>
      <c r="B1546" t="s">
        <v>3176</v>
      </c>
      <c r="C1546" s="8" t="s">
        <v>3177</v>
      </c>
      <c r="D1546" t="s">
        <v>250</v>
      </c>
      <c r="E1546" t="s">
        <v>251</v>
      </c>
      <c r="F1546" t="str">
        <f>"51.1199"</f>
        <v>51.1199</v>
      </c>
      <c r="G1546" s="8" t="s">
        <v>3177</v>
      </c>
    </row>
    <row r="1547" spans="1:7" x14ac:dyDescent="0.35">
      <c r="A1547" t="str">
        <f>"51.1201"</f>
        <v>51.1201</v>
      </c>
      <c r="B1547" t="s">
        <v>3178</v>
      </c>
      <c r="C1547" s="8" t="s">
        <v>3179</v>
      </c>
      <c r="D1547" t="s">
        <v>250</v>
      </c>
      <c r="E1547" t="s">
        <v>251</v>
      </c>
      <c r="F1547" t="str">
        <f>"51.1201"</f>
        <v>51.1201</v>
      </c>
      <c r="G1547" s="8" t="s">
        <v>3179</v>
      </c>
    </row>
    <row r="1548" spans="1:7" x14ac:dyDescent="0.35">
      <c r="D1548" t="s">
        <v>275</v>
      </c>
      <c r="E1548" t="s">
        <v>251</v>
      </c>
      <c r="F1548" t="str">
        <f>"51.1299"</f>
        <v>51.1299</v>
      </c>
      <c r="G1548" s="8" t="s">
        <v>3180</v>
      </c>
    </row>
    <row r="1549" spans="1:7" x14ac:dyDescent="0.35">
      <c r="A1549" t="str">
        <f>"51.1401"</f>
        <v>51.1401</v>
      </c>
      <c r="B1549" t="s">
        <v>3181</v>
      </c>
      <c r="C1549" s="8" t="s">
        <v>3182</v>
      </c>
      <c r="D1549" t="s">
        <v>250</v>
      </c>
      <c r="E1549" t="s">
        <v>264</v>
      </c>
      <c r="F1549" t="str">
        <f>"51.1401"</f>
        <v>51.1401</v>
      </c>
      <c r="G1549" s="8" t="s">
        <v>3183</v>
      </c>
    </row>
    <row r="1550" spans="1:7" x14ac:dyDescent="0.35">
      <c r="D1550" t="s">
        <v>275</v>
      </c>
      <c r="E1550" t="s">
        <v>251</v>
      </c>
      <c r="F1550" t="str">
        <f>"51.1402"</f>
        <v>51.1402</v>
      </c>
      <c r="G1550" s="8" t="s">
        <v>3184</v>
      </c>
    </row>
    <row r="1551" spans="1:7" x14ac:dyDescent="0.35">
      <c r="D1551" t="s">
        <v>275</v>
      </c>
      <c r="E1551" t="s">
        <v>251</v>
      </c>
      <c r="F1551" t="str">
        <f>"51.1403"</f>
        <v>51.1403</v>
      </c>
      <c r="G1551" s="8" t="s">
        <v>3185</v>
      </c>
    </row>
    <row r="1552" spans="1:7" x14ac:dyDescent="0.35">
      <c r="D1552" t="s">
        <v>275</v>
      </c>
      <c r="E1552" t="s">
        <v>251</v>
      </c>
      <c r="F1552" t="str">
        <f>"51.1404"</f>
        <v>51.1404</v>
      </c>
      <c r="G1552" s="8" t="s">
        <v>3186</v>
      </c>
    </row>
    <row r="1553" spans="1:7" x14ac:dyDescent="0.35">
      <c r="D1553" t="s">
        <v>275</v>
      </c>
      <c r="E1553" t="s">
        <v>251</v>
      </c>
      <c r="F1553" t="str">
        <f>"51.1405"</f>
        <v>51.1405</v>
      </c>
      <c r="G1553" s="8" t="s">
        <v>3187</v>
      </c>
    </row>
    <row r="1554" spans="1:7" ht="29" x14ac:dyDescent="0.35">
      <c r="D1554" t="s">
        <v>275</v>
      </c>
      <c r="E1554" t="s">
        <v>251</v>
      </c>
      <c r="F1554" t="str">
        <f>"51.1499"</f>
        <v>51.1499</v>
      </c>
      <c r="G1554" s="8" t="s">
        <v>3188</v>
      </c>
    </row>
    <row r="1555" spans="1:7" x14ac:dyDescent="0.35">
      <c r="A1555" t="str">
        <f>"51.1501"</f>
        <v>51.1501</v>
      </c>
      <c r="B1555" t="s">
        <v>3189</v>
      </c>
      <c r="C1555" s="8" t="s">
        <v>3190</v>
      </c>
      <c r="D1555" t="s">
        <v>250</v>
      </c>
      <c r="E1555" t="s">
        <v>251</v>
      </c>
      <c r="F1555" t="str">
        <f>"51.1501"</f>
        <v>51.1501</v>
      </c>
      <c r="G1555" s="8" t="s">
        <v>3190</v>
      </c>
    </row>
    <row r="1556" spans="1:7" ht="29" x14ac:dyDescent="0.35">
      <c r="A1556" t="str">
        <f>"51.1502"</f>
        <v>51.1502</v>
      </c>
      <c r="B1556" t="s">
        <v>3191</v>
      </c>
      <c r="C1556" s="8" t="s">
        <v>3192</v>
      </c>
      <c r="D1556" t="s">
        <v>250</v>
      </c>
      <c r="E1556" t="s">
        <v>251</v>
      </c>
      <c r="F1556" t="str">
        <f>"51.1502"</f>
        <v>51.1502</v>
      </c>
      <c r="G1556" s="8" t="s">
        <v>3192</v>
      </c>
    </row>
    <row r="1557" spans="1:7" x14ac:dyDescent="0.35">
      <c r="A1557" t="str">
        <f>"51.1503"</f>
        <v>51.1503</v>
      </c>
      <c r="B1557" t="s">
        <v>3193</v>
      </c>
      <c r="C1557" s="8" t="s">
        <v>3194</v>
      </c>
      <c r="D1557" t="s">
        <v>250</v>
      </c>
      <c r="E1557" t="s">
        <v>251</v>
      </c>
      <c r="F1557" t="str">
        <f>"51.1503"</f>
        <v>51.1503</v>
      </c>
      <c r="G1557" s="8" t="s">
        <v>3194</v>
      </c>
    </row>
    <row r="1558" spans="1:7" ht="29" x14ac:dyDescent="0.35">
      <c r="A1558" t="str">
        <f>"51.1504"</f>
        <v>51.1504</v>
      </c>
      <c r="B1558" t="s">
        <v>3195</v>
      </c>
      <c r="C1558" s="8" t="s">
        <v>3196</v>
      </c>
      <c r="D1558" t="s">
        <v>250</v>
      </c>
      <c r="E1558" t="s">
        <v>251</v>
      </c>
      <c r="F1558" t="str">
        <f>"51.1504"</f>
        <v>51.1504</v>
      </c>
      <c r="G1558" s="8" t="s">
        <v>3196</v>
      </c>
    </row>
    <row r="1559" spans="1:7" x14ac:dyDescent="0.35">
      <c r="A1559" t="str">
        <f>"51.1505"</f>
        <v>51.1505</v>
      </c>
      <c r="B1559" t="s">
        <v>3197</v>
      </c>
      <c r="C1559" s="8" t="s">
        <v>3198</v>
      </c>
      <c r="D1559" t="s">
        <v>250</v>
      </c>
      <c r="E1559" t="s">
        <v>251</v>
      </c>
      <c r="F1559" t="str">
        <f>"51.1505"</f>
        <v>51.1505</v>
      </c>
      <c r="G1559" s="8" t="s">
        <v>3198</v>
      </c>
    </row>
    <row r="1560" spans="1:7" ht="29" x14ac:dyDescent="0.35">
      <c r="A1560" t="str">
        <f>"51.1506"</f>
        <v>51.1506</v>
      </c>
      <c r="B1560" t="s">
        <v>3199</v>
      </c>
      <c r="C1560" s="8" t="s">
        <v>3200</v>
      </c>
      <c r="D1560" t="s">
        <v>250</v>
      </c>
      <c r="E1560" t="s">
        <v>251</v>
      </c>
      <c r="F1560" t="str">
        <f>"51.1506"</f>
        <v>51.1506</v>
      </c>
      <c r="G1560" s="8" t="s">
        <v>3200</v>
      </c>
    </row>
    <row r="1561" spans="1:7" x14ac:dyDescent="0.35">
      <c r="A1561" t="str">
        <f>"51.1507"</f>
        <v>51.1507</v>
      </c>
      <c r="B1561" t="s">
        <v>3201</v>
      </c>
      <c r="C1561" s="8" t="s">
        <v>3202</v>
      </c>
      <c r="D1561" t="s">
        <v>250</v>
      </c>
      <c r="E1561" t="s">
        <v>251</v>
      </c>
      <c r="F1561" t="str">
        <f>"51.1507"</f>
        <v>51.1507</v>
      </c>
      <c r="G1561" s="8" t="s">
        <v>3202</v>
      </c>
    </row>
    <row r="1562" spans="1:7" x14ac:dyDescent="0.35">
      <c r="A1562" t="str">
        <f>"51.1508"</f>
        <v>51.1508</v>
      </c>
      <c r="B1562" t="s">
        <v>3203</v>
      </c>
      <c r="C1562" s="8" t="s">
        <v>3204</v>
      </c>
      <c r="D1562" t="s">
        <v>250</v>
      </c>
      <c r="E1562" t="s">
        <v>251</v>
      </c>
      <c r="F1562" t="str">
        <f>"51.1508"</f>
        <v>51.1508</v>
      </c>
      <c r="G1562" s="8" t="s">
        <v>3204</v>
      </c>
    </row>
    <row r="1563" spans="1:7" x14ac:dyDescent="0.35">
      <c r="A1563" t="str">
        <f>"51.1509"</f>
        <v>51.1509</v>
      </c>
      <c r="B1563" t="s">
        <v>3205</v>
      </c>
      <c r="C1563" s="8" t="s">
        <v>3206</v>
      </c>
      <c r="D1563" t="s">
        <v>250</v>
      </c>
      <c r="E1563" t="s">
        <v>251</v>
      </c>
      <c r="F1563" t="str">
        <f>"51.1509"</f>
        <v>51.1509</v>
      </c>
      <c r="G1563" s="8" t="s">
        <v>3206</v>
      </c>
    </row>
    <row r="1564" spans="1:7" x14ac:dyDescent="0.35">
      <c r="D1564" t="s">
        <v>275</v>
      </c>
      <c r="E1564" t="s">
        <v>251</v>
      </c>
      <c r="F1564" t="str">
        <f>"51.1510"</f>
        <v>51.1510</v>
      </c>
      <c r="G1564" s="8" t="s">
        <v>3207</v>
      </c>
    </row>
    <row r="1565" spans="1:7" x14ac:dyDescent="0.35">
      <c r="D1565" t="s">
        <v>275</v>
      </c>
      <c r="E1565" t="s">
        <v>251</v>
      </c>
      <c r="F1565" t="str">
        <f>"51.1511"</f>
        <v>51.1511</v>
      </c>
      <c r="G1565" s="8" t="s">
        <v>3208</v>
      </c>
    </row>
    <row r="1566" spans="1:7" x14ac:dyDescent="0.35">
      <c r="D1566" t="s">
        <v>275</v>
      </c>
      <c r="E1566" t="s">
        <v>251</v>
      </c>
      <c r="F1566" t="str">
        <f>"51.1512"</f>
        <v>51.1512</v>
      </c>
      <c r="G1566" s="8" t="s">
        <v>3209</v>
      </c>
    </row>
    <row r="1567" spans="1:7" x14ac:dyDescent="0.35">
      <c r="D1567" t="s">
        <v>275</v>
      </c>
      <c r="E1567" t="s">
        <v>251</v>
      </c>
      <c r="F1567" t="str">
        <f>"51.1513"</f>
        <v>51.1513</v>
      </c>
      <c r="G1567" s="8" t="s">
        <v>3210</v>
      </c>
    </row>
    <row r="1568" spans="1:7" x14ac:dyDescent="0.35">
      <c r="D1568" t="s">
        <v>275</v>
      </c>
      <c r="E1568" t="s">
        <v>251</v>
      </c>
      <c r="F1568" t="str">
        <f>"51.1580"</f>
        <v>51.1580</v>
      </c>
      <c r="G1568" s="8" t="s">
        <v>301</v>
      </c>
    </row>
    <row r="1569" spans="1:7" ht="29" x14ac:dyDescent="0.35">
      <c r="A1569" t="str">
        <f>"51.1599"</f>
        <v>51.1599</v>
      </c>
      <c r="B1569" t="s">
        <v>3211</v>
      </c>
      <c r="C1569" s="8" t="s">
        <v>3212</v>
      </c>
      <c r="D1569" t="s">
        <v>250</v>
      </c>
      <c r="E1569" t="s">
        <v>251</v>
      </c>
      <c r="F1569" t="str">
        <f>"51.1599"</f>
        <v>51.1599</v>
      </c>
      <c r="G1569" s="8" t="s">
        <v>3212</v>
      </c>
    </row>
    <row r="1570" spans="1:7" x14ac:dyDescent="0.35">
      <c r="A1570" t="str">
        <f>"51.1701"</f>
        <v>51.1701</v>
      </c>
      <c r="B1570" t="s">
        <v>3213</v>
      </c>
      <c r="C1570" s="8" t="s">
        <v>3214</v>
      </c>
      <c r="D1570" t="s">
        <v>250</v>
      </c>
      <c r="E1570" t="s">
        <v>251</v>
      </c>
      <c r="F1570" t="str">
        <f>"51.1701"</f>
        <v>51.1701</v>
      </c>
      <c r="G1570" s="8" t="s">
        <v>3214</v>
      </c>
    </row>
    <row r="1571" spans="1:7" ht="29" x14ac:dyDescent="0.35">
      <c r="A1571" t="str">
        <f>"51.1801"</f>
        <v>51.1801</v>
      </c>
      <c r="B1571" t="s">
        <v>3215</v>
      </c>
      <c r="C1571" s="8" t="s">
        <v>3216</v>
      </c>
      <c r="D1571" t="s">
        <v>250</v>
      </c>
      <c r="E1571" t="s">
        <v>251</v>
      </c>
      <c r="F1571" t="str">
        <f>"51.1801"</f>
        <v>51.1801</v>
      </c>
      <c r="G1571" s="8" t="s">
        <v>3216</v>
      </c>
    </row>
    <row r="1572" spans="1:7" x14ac:dyDescent="0.35">
      <c r="A1572" t="str">
        <f>"51.1802"</f>
        <v>51.1802</v>
      </c>
      <c r="B1572" t="s">
        <v>3217</v>
      </c>
      <c r="C1572" s="8" t="s">
        <v>3218</v>
      </c>
      <c r="D1572" t="s">
        <v>250</v>
      </c>
      <c r="E1572" t="s">
        <v>251</v>
      </c>
      <c r="F1572" t="str">
        <f>"51.1802"</f>
        <v>51.1802</v>
      </c>
      <c r="G1572" s="8" t="s">
        <v>3218</v>
      </c>
    </row>
    <row r="1573" spans="1:7" x14ac:dyDescent="0.35">
      <c r="A1573" t="str">
        <f>"51.1803"</f>
        <v>51.1803</v>
      </c>
      <c r="B1573" t="s">
        <v>3219</v>
      </c>
      <c r="C1573" s="8" t="s">
        <v>3220</v>
      </c>
      <c r="D1573" t="s">
        <v>250</v>
      </c>
      <c r="E1573" t="s">
        <v>251</v>
      </c>
      <c r="F1573" t="str">
        <f>"51.1803"</f>
        <v>51.1803</v>
      </c>
      <c r="G1573" s="8" t="s">
        <v>3220</v>
      </c>
    </row>
    <row r="1574" spans="1:7" x14ac:dyDescent="0.35">
      <c r="A1574" t="str">
        <f>"51.1804"</f>
        <v>51.1804</v>
      </c>
      <c r="B1574" t="s">
        <v>3221</v>
      </c>
      <c r="C1574" s="8" t="s">
        <v>3222</v>
      </c>
      <c r="D1574" t="s">
        <v>250</v>
      </c>
      <c r="E1574" t="s">
        <v>251</v>
      </c>
      <c r="F1574" t="str">
        <f>"51.1804"</f>
        <v>51.1804</v>
      </c>
      <c r="G1574" s="8" t="s">
        <v>3222</v>
      </c>
    </row>
    <row r="1575" spans="1:7" ht="29" x14ac:dyDescent="0.35">
      <c r="A1575" t="str">
        <f>"51.1899"</f>
        <v>51.1899</v>
      </c>
      <c r="B1575" t="s">
        <v>3223</v>
      </c>
      <c r="C1575" s="8" t="s">
        <v>3224</v>
      </c>
      <c r="D1575" t="s">
        <v>250</v>
      </c>
      <c r="E1575" t="s">
        <v>251</v>
      </c>
      <c r="F1575" t="str">
        <f>"51.1899"</f>
        <v>51.1899</v>
      </c>
      <c r="G1575" s="8" t="s">
        <v>3224</v>
      </c>
    </row>
    <row r="1576" spans="1:7" x14ac:dyDescent="0.35">
      <c r="A1576" t="str">
        <f>"51.1901"</f>
        <v>51.1901</v>
      </c>
      <c r="B1576" t="s">
        <v>3225</v>
      </c>
      <c r="C1576" s="8" t="s">
        <v>3226</v>
      </c>
      <c r="D1576" t="s">
        <v>295</v>
      </c>
      <c r="E1576" t="s">
        <v>251</v>
      </c>
      <c r="F1576" t="str">
        <f>"51.1202"</f>
        <v>51.1202</v>
      </c>
      <c r="G1576" s="8" t="s">
        <v>3226</v>
      </c>
    </row>
    <row r="1577" spans="1:7" x14ac:dyDescent="0.35">
      <c r="A1577" t="str">
        <f>"51.2001"</f>
        <v>51.2001</v>
      </c>
      <c r="B1577" t="s">
        <v>3227</v>
      </c>
      <c r="C1577" s="8" t="s">
        <v>3228</v>
      </c>
      <c r="D1577" t="s">
        <v>250</v>
      </c>
      <c r="E1577" t="s">
        <v>251</v>
      </c>
      <c r="F1577" t="str">
        <f>"51.2001"</f>
        <v>51.2001</v>
      </c>
      <c r="G1577" s="8" t="s">
        <v>3228</v>
      </c>
    </row>
    <row r="1578" spans="1:7" ht="29" x14ac:dyDescent="0.35">
      <c r="A1578" t="str">
        <f>"51.2002"</f>
        <v>51.2002</v>
      </c>
      <c r="B1578" t="s">
        <v>3229</v>
      </c>
      <c r="C1578" s="8" t="s">
        <v>3230</v>
      </c>
      <c r="D1578" t="s">
        <v>250</v>
      </c>
      <c r="E1578" t="s">
        <v>251</v>
      </c>
      <c r="F1578" t="str">
        <f>"51.2002"</f>
        <v>51.2002</v>
      </c>
      <c r="G1578" s="8" t="s">
        <v>3230</v>
      </c>
    </row>
    <row r="1579" spans="1:7" x14ac:dyDescent="0.35">
      <c r="A1579" t="str">
        <f>"51.2003"</f>
        <v>51.2003</v>
      </c>
      <c r="B1579" t="s">
        <v>3231</v>
      </c>
      <c r="C1579" s="8" t="s">
        <v>3232</v>
      </c>
      <c r="D1579" t="s">
        <v>250</v>
      </c>
      <c r="E1579" t="s">
        <v>251</v>
      </c>
      <c r="F1579" t="str">
        <f>"51.2003"</f>
        <v>51.2003</v>
      </c>
      <c r="G1579" s="8" t="s">
        <v>3232</v>
      </c>
    </row>
    <row r="1580" spans="1:7" x14ac:dyDescent="0.35">
      <c r="A1580" t="str">
        <f>"51.2004"</f>
        <v>51.2004</v>
      </c>
      <c r="B1580" t="s">
        <v>3233</v>
      </c>
      <c r="C1580" s="8" t="s">
        <v>3234</v>
      </c>
      <c r="D1580" t="s">
        <v>250</v>
      </c>
      <c r="E1580" t="s">
        <v>251</v>
      </c>
      <c r="F1580" t="str">
        <f>"51.2004"</f>
        <v>51.2004</v>
      </c>
      <c r="G1580" s="8" t="s">
        <v>3234</v>
      </c>
    </row>
    <row r="1581" spans="1:7" ht="29" x14ac:dyDescent="0.35">
      <c r="A1581" t="str">
        <f>"51.2005"</f>
        <v>51.2005</v>
      </c>
      <c r="B1581" t="s">
        <v>3235</v>
      </c>
      <c r="C1581" s="8" t="s">
        <v>3236</v>
      </c>
      <c r="D1581" t="s">
        <v>250</v>
      </c>
      <c r="E1581" t="s">
        <v>251</v>
      </c>
      <c r="F1581" t="str">
        <f>"51.2005"</f>
        <v>51.2005</v>
      </c>
      <c r="G1581" s="8" t="s">
        <v>3236</v>
      </c>
    </row>
    <row r="1582" spans="1:7" x14ac:dyDescent="0.35">
      <c r="A1582" t="str">
        <f>"51.2006"</f>
        <v>51.2006</v>
      </c>
      <c r="B1582" t="s">
        <v>3237</v>
      </c>
      <c r="C1582" s="8" t="s">
        <v>3238</v>
      </c>
      <c r="D1582" t="s">
        <v>250</v>
      </c>
      <c r="E1582" t="s">
        <v>251</v>
      </c>
      <c r="F1582" t="str">
        <f>"51.2006"</f>
        <v>51.2006</v>
      </c>
      <c r="G1582" s="8" t="s">
        <v>3238</v>
      </c>
    </row>
    <row r="1583" spans="1:7" ht="29" x14ac:dyDescent="0.35">
      <c r="A1583" t="str">
        <f>"51.2007"</f>
        <v>51.2007</v>
      </c>
      <c r="B1583" t="s">
        <v>3239</v>
      </c>
      <c r="C1583" s="8" t="s">
        <v>3240</v>
      </c>
      <c r="D1583" t="s">
        <v>250</v>
      </c>
      <c r="E1583" t="s">
        <v>251</v>
      </c>
      <c r="F1583" t="str">
        <f>"51.2007"</f>
        <v>51.2007</v>
      </c>
      <c r="G1583" s="8" t="s">
        <v>3240</v>
      </c>
    </row>
    <row r="1584" spans="1:7" ht="29" x14ac:dyDescent="0.35">
      <c r="A1584" t="str">
        <f>"51.2008"</f>
        <v>51.2008</v>
      </c>
      <c r="B1584" t="s">
        <v>3241</v>
      </c>
      <c r="C1584" s="8" t="s">
        <v>3242</v>
      </c>
      <c r="D1584" t="s">
        <v>250</v>
      </c>
      <c r="E1584" t="s">
        <v>251</v>
      </c>
      <c r="F1584" t="str">
        <f>"51.2008"</f>
        <v>51.2008</v>
      </c>
      <c r="G1584" s="8" t="s">
        <v>3242</v>
      </c>
    </row>
    <row r="1585" spans="1:7" ht="29" x14ac:dyDescent="0.35">
      <c r="A1585" t="str">
        <f>"51.2009"</f>
        <v>51.2009</v>
      </c>
      <c r="B1585" t="s">
        <v>3243</v>
      </c>
      <c r="C1585" s="8" t="s">
        <v>3244</v>
      </c>
      <c r="D1585" t="s">
        <v>250</v>
      </c>
      <c r="E1585" t="s">
        <v>251</v>
      </c>
      <c r="F1585" t="str">
        <f>"51.2009"</f>
        <v>51.2009</v>
      </c>
      <c r="G1585" s="8" t="s">
        <v>3244</v>
      </c>
    </row>
    <row r="1586" spans="1:7" x14ac:dyDescent="0.35">
      <c r="A1586" t="str">
        <f>"51.2010"</f>
        <v>51.2010</v>
      </c>
      <c r="B1586" t="s">
        <v>3245</v>
      </c>
      <c r="C1586" s="8" t="s">
        <v>3246</v>
      </c>
      <c r="D1586" t="s">
        <v>250</v>
      </c>
      <c r="E1586" t="s">
        <v>251</v>
      </c>
      <c r="F1586" t="str">
        <f>"51.2010"</f>
        <v>51.2010</v>
      </c>
      <c r="G1586" s="8" t="s">
        <v>3246</v>
      </c>
    </row>
    <row r="1587" spans="1:7" ht="29" x14ac:dyDescent="0.35">
      <c r="A1587" t="str">
        <f>"51.2011"</f>
        <v>51.2011</v>
      </c>
      <c r="B1587" t="s">
        <v>3247</v>
      </c>
      <c r="C1587" s="8" t="s">
        <v>3248</v>
      </c>
      <c r="D1587" t="s">
        <v>250</v>
      </c>
      <c r="E1587" t="s">
        <v>251</v>
      </c>
      <c r="F1587" t="str">
        <f>"51.2011"</f>
        <v>51.2011</v>
      </c>
      <c r="G1587" s="8" t="s">
        <v>3248</v>
      </c>
    </row>
    <row r="1588" spans="1:7" ht="29" x14ac:dyDescent="0.35">
      <c r="A1588" t="str">
        <f>"51.2099"</f>
        <v>51.2099</v>
      </c>
      <c r="B1588" t="s">
        <v>3249</v>
      </c>
      <c r="C1588" s="8" t="s">
        <v>3250</v>
      </c>
      <c r="D1588" t="s">
        <v>250</v>
      </c>
      <c r="E1588" t="s">
        <v>251</v>
      </c>
      <c r="F1588" t="str">
        <f>"51.2099"</f>
        <v>51.2099</v>
      </c>
      <c r="G1588" s="8" t="s">
        <v>3250</v>
      </c>
    </row>
    <row r="1589" spans="1:7" x14ac:dyDescent="0.35">
      <c r="A1589" t="str">
        <f>"51.2101"</f>
        <v>51.2101</v>
      </c>
      <c r="B1589" t="s">
        <v>3251</v>
      </c>
      <c r="C1589" s="8" t="s">
        <v>3252</v>
      </c>
      <c r="D1589" t="s">
        <v>295</v>
      </c>
      <c r="E1589" t="s">
        <v>251</v>
      </c>
      <c r="F1589" t="str">
        <f>"51.1203"</f>
        <v>51.1203</v>
      </c>
      <c r="G1589" s="8" t="s">
        <v>3252</v>
      </c>
    </row>
    <row r="1590" spans="1:7" x14ac:dyDescent="0.35">
      <c r="A1590" t="str">
        <f>"51.2201"</f>
        <v>51.2201</v>
      </c>
      <c r="B1590" t="s">
        <v>3253</v>
      </c>
      <c r="C1590" s="8" t="s">
        <v>3254</v>
      </c>
      <c r="D1590" t="s">
        <v>250</v>
      </c>
      <c r="E1590" t="s">
        <v>251</v>
      </c>
      <c r="F1590" t="str">
        <f>"51.2201"</f>
        <v>51.2201</v>
      </c>
      <c r="G1590" s="8" t="s">
        <v>3254</v>
      </c>
    </row>
    <row r="1591" spans="1:7" x14ac:dyDescent="0.35">
      <c r="A1591" t="str">
        <f>"51.2202"</f>
        <v>51.2202</v>
      </c>
      <c r="B1591" t="s">
        <v>3255</v>
      </c>
      <c r="C1591" s="8" t="s">
        <v>3256</v>
      </c>
      <c r="D1591" t="s">
        <v>250</v>
      </c>
      <c r="E1591" t="s">
        <v>251</v>
      </c>
      <c r="F1591" t="str">
        <f>"51.2202"</f>
        <v>51.2202</v>
      </c>
      <c r="G1591" s="8" t="s">
        <v>3256</v>
      </c>
    </row>
    <row r="1592" spans="1:7" x14ac:dyDescent="0.35">
      <c r="A1592" t="str">
        <f>"51.2205"</f>
        <v>51.2205</v>
      </c>
      <c r="B1592" t="s">
        <v>3257</v>
      </c>
      <c r="C1592" s="8" t="s">
        <v>3258</v>
      </c>
      <c r="D1592" t="s">
        <v>250</v>
      </c>
      <c r="E1592" t="s">
        <v>251</v>
      </c>
      <c r="F1592" t="str">
        <f>"51.2205"</f>
        <v>51.2205</v>
      </c>
      <c r="G1592" s="8" t="s">
        <v>3258</v>
      </c>
    </row>
    <row r="1593" spans="1:7" ht="29" x14ac:dyDescent="0.35">
      <c r="A1593" t="str">
        <f>"51.2206"</f>
        <v>51.2206</v>
      </c>
      <c r="B1593" t="s">
        <v>3259</v>
      </c>
      <c r="C1593" s="8" t="s">
        <v>3260</v>
      </c>
      <c r="D1593" t="s">
        <v>250</v>
      </c>
      <c r="E1593" t="s">
        <v>251</v>
      </c>
      <c r="F1593" t="str">
        <f>"51.2206"</f>
        <v>51.2206</v>
      </c>
      <c r="G1593" s="8" t="s">
        <v>3260</v>
      </c>
    </row>
    <row r="1594" spans="1:7" x14ac:dyDescent="0.35">
      <c r="A1594" t="str">
        <f>"51.2207"</f>
        <v>51.2207</v>
      </c>
      <c r="B1594" t="s">
        <v>3261</v>
      </c>
      <c r="C1594" s="8" t="s">
        <v>3262</v>
      </c>
      <c r="D1594" t="s">
        <v>250</v>
      </c>
      <c r="E1594" t="s">
        <v>251</v>
      </c>
      <c r="F1594" t="str">
        <f>"51.2207"</f>
        <v>51.2207</v>
      </c>
      <c r="G1594" s="8" t="s">
        <v>3262</v>
      </c>
    </row>
    <row r="1595" spans="1:7" ht="29" x14ac:dyDescent="0.35">
      <c r="A1595" t="str">
        <f>"51.2208"</f>
        <v>51.2208</v>
      </c>
      <c r="B1595" t="s">
        <v>3263</v>
      </c>
      <c r="C1595" s="8" t="s">
        <v>3264</v>
      </c>
      <c r="D1595" t="s">
        <v>250</v>
      </c>
      <c r="E1595" t="s">
        <v>251</v>
      </c>
      <c r="F1595" t="str">
        <f>"51.2208"</f>
        <v>51.2208</v>
      </c>
      <c r="G1595" s="8" t="s">
        <v>3264</v>
      </c>
    </row>
    <row r="1596" spans="1:7" x14ac:dyDescent="0.35">
      <c r="A1596" t="str">
        <f>"51.2209"</f>
        <v>51.2209</v>
      </c>
      <c r="B1596" t="s">
        <v>3265</v>
      </c>
      <c r="C1596" s="8" t="s">
        <v>3266</v>
      </c>
      <c r="D1596" t="s">
        <v>250</v>
      </c>
      <c r="E1596" t="s">
        <v>251</v>
      </c>
      <c r="F1596" t="str">
        <f>"51.2209"</f>
        <v>51.2209</v>
      </c>
      <c r="G1596" s="8" t="s">
        <v>3266</v>
      </c>
    </row>
    <row r="1597" spans="1:7" ht="29" x14ac:dyDescent="0.35">
      <c r="A1597" t="str">
        <f>"51.2210"</f>
        <v>51.2210</v>
      </c>
      <c r="B1597" t="s">
        <v>3267</v>
      </c>
      <c r="C1597" s="8" t="s">
        <v>3268</v>
      </c>
      <c r="D1597" t="s">
        <v>250</v>
      </c>
      <c r="E1597" t="s">
        <v>251</v>
      </c>
      <c r="F1597" t="str">
        <f>"51.2210"</f>
        <v>51.2210</v>
      </c>
      <c r="G1597" s="8" t="s">
        <v>3268</v>
      </c>
    </row>
    <row r="1598" spans="1:7" x14ac:dyDescent="0.35">
      <c r="A1598" t="str">
        <f>"51.2211"</f>
        <v>51.2211</v>
      </c>
      <c r="B1598" t="s">
        <v>3269</v>
      </c>
      <c r="C1598" s="8" t="s">
        <v>3270</v>
      </c>
      <c r="D1598" t="s">
        <v>250</v>
      </c>
      <c r="E1598" t="s">
        <v>251</v>
      </c>
      <c r="F1598" t="str">
        <f>"51.2211"</f>
        <v>51.2211</v>
      </c>
      <c r="G1598" s="8" t="s">
        <v>3270</v>
      </c>
    </row>
    <row r="1599" spans="1:7" x14ac:dyDescent="0.35">
      <c r="A1599" t="str">
        <f>"51.2212"</f>
        <v>51.2212</v>
      </c>
      <c r="B1599" t="s">
        <v>3271</v>
      </c>
      <c r="C1599" s="8" t="s">
        <v>3272</v>
      </c>
      <c r="D1599" t="s">
        <v>250</v>
      </c>
      <c r="E1599" t="s">
        <v>251</v>
      </c>
      <c r="F1599" t="str">
        <f>"51.2212"</f>
        <v>51.2212</v>
      </c>
      <c r="G1599" s="8" t="s">
        <v>3272</v>
      </c>
    </row>
    <row r="1600" spans="1:7" x14ac:dyDescent="0.35">
      <c r="D1600" t="s">
        <v>275</v>
      </c>
      <c r="E1600" t="s">
        <v>251</v>
      </c>
      <c r="F1600" t="str">
        <f>"51.2213"</f>
        <v>51.2213</v>
      </c>
      <c r="G1600" s="8" t="s">
        <v>3273</v>
      </c>
    </row>
    <row r="1601" spans="1:7" x14ac:dyDescent="0.35">
      <c r="D1601" t="s">
        <v>275</v>
      </c>
      <c r="E1601" t="s">
        <v>251</v>
      </c>
      <c r="F1601" t="str">
        <f>"51.2214"</f>
        <v>51.2214</v>
      </c>
      <c r="G1601" s="8" t="s">
        <v>3274</v>
      </c>
    </row>
    <row r="1602" spans="1:7" x14ac:dyDescent="0.35">
      <c r="D1602" t="s">
        <v>275</v>
      </c>
      <c r="E1602" t="s">
        <v>251</v>
      </c>
      <c r="F1602" t="str">
        <f>"51.2280"</f>
        <v>51.2280</v>
      </c>
      <c r="G1602" s="8" t="s">
        <v>301</v>
      </c>
    </row>
    <row r="1603" spans="1:7" x14ac:dyDescent="0.35">
      <c r="A1603" t="str">
        <f>"51.2299"</f>
        <v>51.2299</v>
      </c>
      <c r="B1603" t="s">
        <v>3275</v>
      </c>
      <c r="C1603" s="8" t="s">
        <v>3276</v>
      </c>
      <c r="D1603" t="s">
        <v>250</v>
      </c>
      <c r="E1603" t="s">
        <v>251</v>
      </c>
      <c r="F1603" t="str">
        <f>"51.2299"</f>
        <v>51.2299</v>
      </c>
      <c r="G1603" s="8" t="s">
        <v>3276</v>
      </c>
    </row>
    <row r="1604" spans="1:7" ht="29" x14ac:dyDescent="0.35">
      <c r="D1604" t="s">
        <v>275</v>
      </c>
      <c r="E1604" t="s">
        <v>251</v>
      </c>
      <c r="F1604" t="str">
        <f>"51.2300"</f>
        <v>51.2300</v>
      </c>
      <c r="G1604" s="8" t="s">
        <v>3277</v>
      </c>
    </row>
    <row r="1605" spans="1:7" x14ac:dyDescent="0.35">
      <c r="A1605" t="str">
        <f>"51.2301"</f>
        <v>51.2301</v>
      </c>
      <c r="B1605" t="s">
        <v>3278</v>
      </c>
      <c r="C1605" s="8" t="s">
        <v>3279</v>
      </c>
      <c r="D1605" t="s">
        <v>250</v>
      </c>
      <c r="E1605" t="s">
        <v>251</v>
      </c>
      <c r="F1605" t="str">
        <f>"51.2301"</f>
        <v>51.2301</v>
      </c>
      <c r="G1605" s="8" t="s">
        <v>3279</v>
      </c>
    </row>
    <row r="1606" spans="1:7" x14ac:dyDescent="0.35">
      <c r="A1606" t="str">
        <f>"51.2302"</f>
        <v>51.2302</v>
      </c>
      <c r="B1606" t="s">
        <v>3280</v>
      </c>
      <c r="C1606" s="8" t="s">
        <v>3281</v>
      </c>
      <c r="D1606" t="s">
        <v>250</v>
      </c>
      <c r="E1606" t="s">
        <v>251</v>
      </c>
      <c r="F1606" t="str">
        <f>"51.2302"</f>
        <v>51.2302</v>
      </c>
      <c r="G1606" s="8" t="s">
        <v>3281</v>
      </c>
    </row>
    <row r="1607" spans="1:7" x14ac:dyDescent="0.35">
      <c r="A1607" t="str">
        <f>"51.2305"</f>
        <v>51.2305</v>
      </c>
      <c r="B1607" t="s">
        <v>3282</v>
      </c>
      <c r="C1607" s="8" t="s">
        <v>3283</v>
      </c>
      <c r="D1607" t="s">
        <v>250</v>
      </c>
      <c r="E1607" t="s">
        <v>264</v>
      </c>
      <c r="F1607" t="str">
        <f>"51.2305"</f>
        <v>51.2305</v>
      </c>
      <c r="G1607" s="8" t="s">
        <v>3283</v>
      </c>
    </row>
    <row r="1608" spans="1:7" x14ac:dyDescent="0.35">
      <c r="A1608" t="str">
        <f>"51.2306"</f>
        <v>51.2306</v>
      </c>
      <c r="B1608" t="s">
        <v>3284</v>
      </c>
      <c r="C1608" s="8" t="s">
        <v>3285</v>
      </c>
      <c r="D1608" t="s">
        <v>250</v>
      </c>
      <c r="E1608" t="s">
        <v>251</v>
      </c>
      <c r="F1608" t="str">
        <f>"51.2306"</f>
        <v>51.2306</v>
      </c>
      <c r="G1608" s="8" t="s">
        <v>3285</v>
      </c>
    </row>
    <row r="1609" spans="1:7" x14ac:dyDescent="0.35">
      <c r="A1609" t="str">
        <f>"51.2307"</f>
        <v>51.2307</v>
      </c>
      <c r="B1609" t="s">
        <v>3286</v>
      </c>
      <c r="C1609" s="8" t="s">
        <v>3287</v>
      </c>
      <c r="D1609" t="s">
        <v>250</v>
      </c>
      <c r="E1609" t="s">
        <v>251</v>
      </c>
      <c r="F1609" t="str">
        <f>"51.2307"</f>
        <v>51.2307</v>
      </c>
      <c r="G1609" s="8" t="s">
        <v>3287</v>
      </c>
    </row>
    <row r="1610" spans="1:7" x14ac:dyDescent="0.35">
      <c r="A1610" t="str">
        <f>"51.2308"</f>
        <v>51.2308</v>
      </c>
      <c r="B1610" t="s">
        <v>3288</v>
      </c>
      <c r="C1610" s="8" t="s">
        <v>3289</v>
      </c>
      <c r="D1610" t="s">
        <v>250</v>
      </c>
      <c r="E1610" t="s">
        <v>264</v>
      </c>
      <c r="F1610" t="str">
        <f>"51.2308"</f>
        <v>51.2308</v>
      </c>
      <c r="G1610" s="8" t="s">
        <v>3289</v>
      </c>
    </row>
    <row r="1611" spans="1:7" ht="29" x14ac:dyDescent="0.35">
      <c r="A1611" t="str">
        <f>"51.2309"</f>
        <v>51.2309</v>
      </c>
      <c r="B1611" t="s">
        <v>3290</v>
      </c>
      <c r="C1611" s="8" t="s">
        <v>3291</v>
      </c>
      <c r="D1611" t="s">
        <v>250</v>
      </c>
      <c r="E1611" t="s">
        <v>251</v>
      </c>
      <c r="F1611" t="str">
        <f>"51.2309"</f>
        <v>51.2309</v>
      </c>
      <c r="G1611" s="8" t="s">
        <v>3291</v>
      </c>
    </row>
    <row r="1612" spans="1:7" ht="29" x14ac:dyDescent="0.35">
      <c r="A1612" t="str">
        <f>"51.2310"</f>
        <v>51.2310</v>
      </c>
      <c r="B1612" t="s">
        <v>3292</v>
      </c>
      <c r="C1612" s="8" t="s">
        <v>3293</v>
      </c>
      <c r="D1612" t="s">
        <v>250</v>
      </c>
      <c r="E1612" t="s">
        <v>251</v>
      </c>
      <c r="F1612" t="str">
        <f>"51.2310"</f>
        <v>51.2310</v>
      </c>
      <c r="G1612" s="8" t="s">
        <v>3293</v>
      </c>
    </row>
    <row r="1613" spans="1:7" x14ac:dyDescent="0.35">
      <c r="A1613" t="str">
        <f>"51.2311"</f>
        <v>51.2311</v>
      </c>
      <c r="B1613" t="s">
        <v>3294</v>
      </c>
      <c r="C1613" s="8" t="s">
        <v>3295</v>
      </c>
      <c r="D1613" t="s">
        <v>250</v>
      </c>
      <c r="E1613" t="s">
        <v>251</v>
      </c>
      <c r="F1613" t="str">
        <f>"51.2311"</f>
        <v>51.2311</v>
      </c>
      <c r="G1613" s="8" t="s">
        <v>3295</v>
      </c>
    </row>
    <row r="1614" spans="1:7" ht="29" x14ac:dyDescent="0.35">
      <c r="A1614" t="str">
        <f>"51.2312"</f>
        <v>51.2312</v>
      </c>
      <c r="B1614" t="s">
        <v>3296</v>
      </c>
      <c r="C1614" s="8" t="s">
        <v>3297</v>
      </c>
      <c r="D1614" t="s">
        <v>250</v>
      </c>
      <c r="E1614" t="s">
        <v>251</v>
      </c>
      <c r="F1614" t="str">
        <f>"51.2312"</f>
        <v>51.2312</v>
      </c>
      <c r="G1614" s="8" t="s">
        <v>3297</v>
      </c>
    </row>
    <row r="1615" spans="1:7" x14ac:dyDescent="0.35">
      <c r="A1615" t="str">
        <f>"51.2313"</f>
        <v>51.2313</v>
      </c>
      <c r="B1615" t="s">
        <v>3298</v>
      </c>
      <c r="C1615" s="8" t="s">
        <v>3299</v>
      </c>
      <c r="D1615" t="s">
        <v>250</v>
      </c>
      <c r="E1615" t="s">
        <v>251</v>
      </c>
      <c r="F1615" t="str">
        <f>"51.2313"</f>
        <v>51.2313</v>
      </c>
      <c r="G1615" s="8" t="s">
        <v>3299</v>
      </c>
    </row>
    <row r="1616" spans="1:7" x14ac:dyDescent="0.35">
      <c r="A1616" t="str">
        <f>"51.2314"</f>
        <v>51.2314</v>
      </c>
      <c r="B1616" t="s">
        <v>3300</v>
      </c>
      <c r="C1616" s="8" t="s">
        <v>3301</v>
      </c>
      <c r="D1616" t="s">
        <v>250</v>
      </c>
      <c r="E1616" t="s">
        <v>251</v>
      </c>
      <c r="F1616" t="str">
        <f>"51.2314"</f>
        <v>51.2314</v>
      </c>
      <c r="G1616" s="8" t="s">
        <v>3301</v>
      </c>
    </row>
    <row r="1617" spans="1:7" x14ac:dyDescent="0.35">
      <c r="D1617" t="s">
        <v>275</v>
      </c>
      <c r="E1617" t="s">
        <v>251</v>
      </c>
      <c r="F1617" t="str">
        <f>"51.2315"</f>
        <v>51.2315</v>
      </c>
      <c r="G1617" s="8" t="s">
        <v>3302</v>
      </c>
    </row>
    <row r="1618" spans="1:7" x14ac:dyDescent="0.35">
      <c r="D1618" t="s">
        <v>275</v>
      </c>
      <c r="E1618" t="s">
        <v>251</v>
      </c>
      <c r="F1618" t="str">
        <f>"51.2316"</f>
        <v>51.2316</v>
      </c>
      <c r="G1618" s="8" t="s">
        <v>3303</v>
      </c>
    </row>
    <row r="1619" spans="1:7" x14ac:dyDescent="0.35">
      <c r="D1619" t="s">
        <v>275</v>
      </c>
      <c r="E1619" t="s">
        <v>251</v>
      </c>
      <c r="F1619" t="str">
        <f>"51.2317"</f>
        <v>51.2317</v>
      </c>
      <c r="G1619" s="8" t="s">
        <v>3304</v>
      </c>
    </row>
    <row r="1620" spans="1:7" ht="29" x14ac:dyDescent="0.35">
      <c r="A1620" t="str">
        <f>"51.2399"</f>
        <v>51.2399</v>
      </c>
      <c r="B1620" t="s">
        <v>3305</v>
      </c>
      <c r="C1620" s="8" t="s">
        <v>3306</v>
      </c>
      <c r="D1620" t="s">
        <v>250</v>
      </c>
      <c r="E1620" t="s">
        <v>251</v>
      </c>
      <c r="F1620" t="str">
        <f>"51.2399"</f>
        <v>51.2399</v>
      </c>
      <c r="G1620" s="8" t="s">
        <v>3306</v>
      </c>
    </row>
    <row r="1621" spans="1:7" x14ac:dyDescent="0.35">
      <c r="A1621" t="str">
        <f>"51.2401"</f>
        <v>51.2401</v>
      </c>
      <c r="B1621" t="s">
        <v>3307</v>
      </c>
      <c r="C1621" s="8" t="s">
        <v>3308</v>
      </c>
      <c r="D1621" t="s">
        <v>295</v>
      </c>
      <c r="E1621" t="s">
        <v>251</v>
      </c>
      <c r="F1621" t="str">
        <f>"01.8001"</f>
        <v>01.8001</v>
      </c>
      <c r="G1621" s="8" t="s">
        <v>3308</v>
      </c>
    </row>
    <row r="1622" spans="1:7" ht="29" x14ac:dyDescent="0.35">
      <c r="A1622" t="str">
        <f>"51.2501"</f>
        <v>51.2501</v>
      </c>
      <c r="B1622" t="s">
        <v>3309</v>
      </c>
      <c r="C1622" s="8" t="s">
        <v>3310</v>
      </c>
      <c r="D1622" t="s">
        <v>295</v>
      </c>
      <c r="E1622" t="s">
        <v>251</v>
      </c>
      <c r="F1622" t="str">
        <f>"01.8101"</f>
        <v>01.8101</v>
      </c>
      <c r="G1622" s="8" t="s">
        <v>3310</v>
      </c>
    </row>
    <row r="1623" spans="1:7" x14ac:dyDescent="0.35">
      <c r="A1623" t="str">
        <f>"51.2502"</f>
        <v>51.2502</v>
      </c>
      <c r="B1623" t="s">
        <v>3311</v>
      </c>
      <c r="C1623" s="8" t="s">
        <v>3312</v>
      </c>
      <c r="D1623" t="s">
        <v>295</v>
      </c>
      <c r="E1623" t="s">
        <v>251</v>
      </c>
      <c r="F1623" t="str">
        <f>"01.8105"</f>
        <v>01.8105</v>
      </c>
      <c r="G1623" s="8" t="s">
        <v>3312</v>
      </c>
    </row>
    <row r="1624" spans="1:7" x14ac:dyDescent="0.35">
      <c r="A1624" t="str">
        <f>"51.2503"</f>
        <v>51.2503</v>
      </c>
      <c r="B1624" t="s">
        <v>3313</v>
      </c>
      <c r="C1624" s="8" t="s">
        <v>3314</v>
      </c>
      <c r="D1624" t="s">
        <v>295</v>
      </c>
      <c r="E1624" t="s">
        <v>251</v>
      </c>
      <c r="F1624" t="str">
        <f>"01.8109"</f>
        <v>01.8109</v>
      </c>
      <c r="G1624" s="8" t="s">
        <v>3314</v>
      </c>
    </row>
    <row r="1625" spans="1:7" ht="29" x14ac:dyDescent="0.35">
      <c r="A1625" t="str">
        <f>"51.2504"</f>
        <v>51.2504</v>
      </c>
      <c r="B1625" t="s">
        <v>3315</v>
      </c>
      <c r="C1625" s="8" t="s">
        <v>3316</v>
      </c>
      <c r="D1625" t="s">
        <v>295</v>
      </c>
      <c r="E1625" t="s">
        <v>251</v>
      </c>
      <c r="F1625" t="str">
        <f>"01.8107"</f>
        <v>01.8107</v>
      </c>
      <c r="G1625" s="8" t="s">
        <v>3316</v>
      </c>
    </row>
    <row r="1626" spans="1:7" x14ac:dyDescent="0.35">
      <c r="A1626" t="str">
        <f>"51.2505"</f>
        <v>51.2505</v>
      </c>
      <c r="B1626" t="s">
        <v>3317</v>
      </c>
      <c r="C1626" s="8" t="s">
        <v>3318</v>
      </c>
      <c r="D1626" t="s">
        <v>295</v>
      </c>
      <c r="E1626" t="s">
        <v>251</v>
      </c>
      <c r="F1626" t="str">
        <f>"01.8108"</f>
        <v>01.8108</v>
      </c>
      <c r="G1626" s="8" t="s">
        <v>3318</v>
      </c>
    </row>
    <row r="1627" spans="1:7" x14ac:dyDescent="0.35">
      <c r="A1627" t="str">
        <f>"51.2506"</f>
        <v>51.2506</v>
      </c>
      <c r="B1627" t="s">
        <v>3319</v>
      </c>
      <c r="C1627" s="8" t="s">
        <v>3320</v>
      </c>
      <c r="D1627" t="s">
        <v>295</v>
      </c>
      <c r="E1627" t="s">
        <v>251</v>
      </c>
      <c r="F1627" t="str">
        <f>"01.8111"</f>
        <v>01.8111</v>
      </c>
      <c r="G1627" s="8" t="s">
        <v>3320</v>
      </c>
    </row>
    <row r="1628" spans="1:7" ht="29" x14ac:dyDescent="0.35">
      <c r="A1628" t="str">
        <f>"51.2507"</f>
        <v>51.2507</v>
      </c>
      <c r="B1628" t="s">
        <v>3321</v>
      </c>
      <c r="C1628" s="8" t="s">
        <v>3322</v>
      </c>
      <c r="D1628" t="s">
        <v>295</v>
      </c>
      <c r="E1628" t="s">
        <v>251</v>
      </c>
      <c r="F1628" t="str">
        <f>"01.8103"</f>
        <v>01.8103</v>
      </c>
      <c r="G1628" s="8" t="s">
        <v>3322</v>
      </c>
    </row>
    <row r="1629" spans="1:7" ht="29" x14ac:dyDescent="0.35">
      <c r="A1629" t="str">
        <f>"51.2508"</f>
        <v>51.2508</v>
      </c>
      <c r="B1629" t="s">
        <v>3323</v>
      </c>
      <c r="C1629" s="8" t="s">
        <v>3324</v>
      </c>
      <c r="D1629" t="s">
        <v>295</v>
      </c>
      <c r="E1629" t="s">
        <v>251</v>
      </c>
      <c r="F1629" t="str">
        <f>"01.8104"</f>
        <v>01.8104</v>
      </c>
      <c r="G1629" s="8" t="s">
        <v>3324</v>
      </c>
    </row>
    <row r="1630" spans="1:7" ht="29" x14ac:dyDescent="0.35">
      <c r="A1630" t="str">
        <f>"51.2509"</f>
        <v>51.2509</v>
      </c>
      <c r="B1630" t="s">
        <v>3325</v>
      </c>
      <c r="C1630" s="8" t="s">
        <v>3326</v>
      </c>
      <c r="D1630" t="s">
        <v>295</v>
      </c>
      <c r="E1630" t="s">
        <v>251</v>
      </c>
      <c r="F1630" t="str">
        <f>"01.8102"</f>
        <v>01.8102</v>
      </c>
      <c r="G1630" s="8" t="s">
        <v>3326</v>
      </c>
    </row>
    <row r="1631" spans="1:7" ht="29" x14ac:dyDescent="0.35">
      <c r="A1631" t="str">
        <f>"51.2510"</f>
        <v>51.2510</v>
      </c>
      <c r="B1631" t="s">
        <v>3327</v>
      </c>
      <c r="C1631" s="8" t="s">
        <v>3328</v>
      </c>
      <c r="D1631" t="s">
        <v>295</v>
      </c>
      <c r="E1631" t="s">
        <v>251</v>
      </c>
      <c r="F1631" t="str">
        <f>"01.8110"</f>
        <v>01.8110</v>
      </c>
      <c r="G1631" s="8" t="s">
        <v>3328</v>
      </c>
    </row>
    <row r="1632" spans="1:7" x14ac:dyDescent="0.35">
      <c r="A1632" t="str">
        <f>"51.2511"</f>
        <v>51.2511</v>
      </c>
      <c r="B1632" t="s">
        <v>3329</v>
      </c>
      <c r="C1632" s="8" t="s">
        <v>3330</v>
      </c>
      <c r="D1632" t="s">
        <v>295</v>
      </c>
      <c r="E1632" t="s">
        <v>251</v>
      </c>
      <c r="F1632" t="str">
        <f>"01.8106"</f>
        <v>01.8106</v>
      </c>
      <c r="G1632" s="8" t="s">
        <v>3330</v>
      </c>
    </row>
    <row r="1633" spans="1:7" ht="29" x14ac:dyDescent="0.35">
      <c r="A1633" t="str">
        <f>"51.2599"</f>
        <v>51.2599</v>
      </c>
      <c r="B1633" t="s">
        <v>3331</v>
      </c>
      <c r="C1633" s="8" t="s">
        <v>3332</v>
      </c>
      <c r="D1633" t="s">
        <v>295</v>
      </c>
      <c r="E1633" t="s">
        <v>251</v>
      </c>
      <c r="F1633" t="str">
        <f>"01.8199"</f>
        <v>01.8199</v>
      </c>
      <c r="G1633" s="8" t="s">
        <v>3332</v>
      </c>
    </row>
    <row r="1634" spans="1:7" x14ac:dyDescent="0.35">
      <c r="A1634" t="str">
        <f>"51.2601"</f>
        <v>51.2601</v>
      </c>
      <c r="B1634" t="s">
        <v>3333</v>
      </c>
      <c r="C1634" s="8" t="s">
        <v>3334</v>
      </c>
      <c r="D1634" t="s">
        <v>250</v>
      </c>
      <c r="E1634" t="s">
        <v>251</v>
      </c>
      <c r="F1634" t="str">
        <f>"51.2601"</f>
        <v>51.2601</v>
      </c>
      <c r="G1634" s="8" t="s">
        <v>3334</v>
      </c>
    </row>
    <row r="1635" spans="1:7" x14ac:dyDescent="0.35">
      <c r="A1635" t="str">
        <f>"51.2602"</f>
        <v>51.2602</v>
      </c>
      <c r="B1635" t="s">
        <v>3335</v>
      </c>
      <c r="C1635" s="8" t="s">
        <v>3336</v>
      </c>
      <c r="D1635" t="s">
        <v>250</v>
      </c>
      <c r="E1635" t="s">
        <v>251</v>
      </c>
      <c r="F1635" t="str">
        <f>"51.2602"</f>
        <v>51.2602</v>
      </c>
      <c r="G1635" s="8" t="s">
        <v>3336</v>
      </c>
    </row>
    <row r="1636" spans="1:7" x14ac:dyDescent="0.35">
      <c r="A1636" t="str">
        <f>"51.2603"</f>
        <v>51.2603</v>
      </c>
      <c r="B1636" t="s">
        <v>3337</v>
      </c>
      <c r="C1636" s="8" t="s">
        <v>3338</v>
      </c>
      <c r="D1636" t="s">
        <v>250</v>
      </c>
      <c r="E1636" t="s">
        <v>251</v>
      </c>
      <c r="F1636" t="str">
        <f>"51.2603"</f>
        <v>51.2603</v>
      </c>
      <c r="G1636" s="8" t="s">
        <v>3338</v>
      </c>
    </row>
    <row r="1637" spans="1:7" x14ac:dyDescent="0.35">
      <c r="A1637" t="str">
        <f>"51.2604"</f>
        <v>51.2604</v>
      </c>
      <c r="B1637" t="s">
        <v>3339</v>
      </c>
      <c r="C1637" s="8" t="s">
        <v>3340</v>
      </c>
      <c r="D1637" t="s">
        <v>250</v>
      </c>
      <c r="E1637" t="s">
        <v>264</v>
      </c>
      <c r="F1637" t="str">
        <f>"51.2604"</f>
        <v>51.2604</v>
      </c>
      <c r="G1637" s="8" t="s">
        <v>3340</v>
      </c>
    </row>
    <row r="1638" spans="1:7" x14ac:dyDescent="0.35">
      <c r="D1638" t="s">
        <v>275</v>
      </c>
      <c r="E1638" t="s">
        <v>251</v>
      </c>
      <c r="F1638" t="str">
        <f>"51.2605"</f>
        <v>51.2605</v>
      </c>
      <c r="G1638" s="8" t="s">
        <v>3341</v>
      </c>
    </row>
    <row r="1639" spans="1:7" x14ac:dyDescent="0.35">
      <c r="A1639" t="str">
        <f>"51.2699"</f>
        <v>51.2699</v>
      </c>
      <c r="B1639" t="s">
        <v>3342</v>
      </c>
      <c r="C1639" s="8" t="s">
        <v>3343</v>
      </c>
      <c r="D1639" t="s">
        <v>250</v>
      </c>
      <c r="E1639" t="s">
        <v>251</v>
      </c>
      <c r="F1639" t="str">
        <f>"51.2699"</f>
        <v>51.2699</v>
      </c>
      <c r="G1639" s="8" t="s">
        <v>3343</v>
      </c>
    </row>
    <row r="1640" spans="1:7" x14ac:dyDescent="0.35">
      <c r="A1640" t="str">
        <f>"51.2703"</f>
        <v>51.2703</v>
      </c>
      <c r="B1640" t="s">
        <v>3344</v>
      </c>
      <c r="C1640" s="8" t="s">
        <v>3345</v>
      </c>
      <c r="D1640" t="s">
        <v>250</v>
      </c>
      <c r="E1640" t="s">
        <v>251</v>
      </c>
      <c r="F1640" t="str">
        <f>"51.2703"</f>
        <v>51.2703</v>
      </c>
      <c r="G1640" s="8" t="s">
        <v>3345</v>
      </c>
    </row>
    <row r="1641" spans="1:7" x14ac:dyDescent="0.35">
      <c r="A1641" t="str">
        <f>"51.2706"</f>
        <v>51.2706</v>
      </c>
      <c r="B1641" t="s">
        <v>3346</v>
      </c>
      <c r="C1641" s="8" t="s">
        <v>3347</v>
      </c>
      <c r="D1641" t="s">
        <v>250</v>
      </c>
      <c r="E1641" t="s">
        <v>251</v>
      </c>
      <c r="F1641" t="str">
        <f>"51.2706"</f>
        <v>51.2706</v>
      </c>
      <c r="G1641" s="8" t="s">
        <v>3347</v>
      </c>
    </row>
    <row r="1642" spans="1:7" ht="29" x14ac:dyDescent="0.35">
      <c r="A1642" t="str">
        <f>"51.2799"</f>
        <v>51.2799</v>
      </c>
      <c r="B1642" t="s">
        <v>3348</v>
      </c>
      <c r="C1642" s="8" t="s">
        <v>3349</v>
      </c>
      <c r="D1642" t="s">
        <v>250</v>
      </c>
      <c r="E1642" t="s">
        <v>251</v>
      </c>
      <c r="F1642" t="str">
        <f>"51.2799"</f>
        <v>51.2799</v>
      </c>
      <c r="G1642" s="8" t="s">
        <v>3349</v>
      </c>
    </row>
    <row r="1643" spans="1:7" x14ac:dyDescent="0.35">
      <c r="A1643" t="str">
        <f>"51.3101"</f>
        <v>51.3101</v>
      </c>
      <c r="B1643" t="s">
        <v>3350</v>
      </c>
      <c r="C1643" s="8" t="s">
        <v>3351</v>
      </c>
      <c r="D1643" t="s">
        <v>250</v>
      </c>
      <c r="E1643" t="s">
        <v>251</v>
      </c>
      <c r="F1643" t="str">
        <f>"51.3101"</f>
        <v>51.3101</v>
      </c>
      <c r="G1643" s="8" t="s">
        <v>3351</v>
      </c>
    </row>
    <row r="1644" spans="1:7" x14ac:dyDescent="0.35">
      <c r="A1644" t="str">
        <f>"51.3102"</f>
        <v>51.3102</v>
      </c>
      <c r="B1644" t="s">
        <v>3352</v>
      </c>
      <c r="C1644" s="8" t="s">
        <v>3353</v>
      </c>
      <c r="D1644" t="s">
        <v>250</v>
      </c>
      <c r="E1644" t="s">
        <v>251</v>
      </c>
      <c r="F1644" t="str">
        <f>"51.3102"</f>
        <v>51.3102</v>
      </c>
      <c r="G1644" s="8" t="s">
        <v>3353</v>
      </c>
    </row>
    <row r="1645" spans="1:7" x14ac:dyDescent="0.35">
      <c r="A1645" t="str">
        <f>"51.3103"</f>
        <v>51.3103</v>
      </c>
      <c r="B1645" t="s">
        <v>3354</v>
      </c>
      <c r="C1645" s="8" t="s">
        <v>3355</v>
      </c>
      <c r="D1645" t="s">
        <v>250</v>
      </c>
      <c r="E1645" t="s">
        <v>251</v>
      </c>
      <c r="F1645" t="str">
        <f>"51.3103"</f>
        <v>51.3103</v>
      </c>
      <c r="G1645" s="8" t="s">
        <v>3355</v>
      </c>
    </row>
    <row r="1646" spans="1:7" x14ac:dyDescent="0.35">
      <c r="A1646" t="str">
        <f>"51.3104"</f>
        <v>51.3104</v>
      </c>
      <c r="B1646" t="s">
        <v>3356</v>
      </c>
      <c r="C1646" s="8" t="s">
        <v>3357</v>
      </c>
      <c r="D1646" t="s">
        <v>250</v>
      </c>
      <c r="E1646" t="s">
        <v>251</v>
      </c>
      <c r="F1646" t="str">
        <f>"51.3104"</f>
        <v>51.3104</v>
      </c>
      <c r="G1646" s="8" t="s">
        <v>3357</v>
      </c>
    </row>
    <row r="1647" spans="1:7" ht="29" x14ac:dyDescent="0.35">
      <c r="A1647" t="str">
        <f>"51.3199"</f>
        <v>51.3199</v>
      </c>
      <c r="B1647" t="s">
        <v>3358</v>
      </c>
      <c r="C1647" s="8" t="s">
        <v>3359</v>
      </c>
      <c r="D1647" t="s">
        <v>250</v>
      </c>
      <c r="E1647" t="s">
        <v>251</v>
      </c>
      <c r="F1647" t="str">
        <f>"51.3199"</f>
        <v>51.3199</v>
      </c>
      <c r="G1647" s="8" t="s">
        <v>3359</v>
      </c>
    </row>
    <row r="1648" spans="1:7" x14ac:dyDescent="0.35">
      <c r="A1648" t="str">
        <f>"51.3201"</f>
        <v>51.3201</v>
      </c>
      <c r="B1648" t="s">
        <v>3360</v>
      </c>
      <c r="C1648" s="8" t="s">
        <v>3361</v>
      </c>
      <c r="D1648" t="s">
        <v>250</v>
      </c>
      <c r="E1648" t="s">
        <v>251</v>
      </c>
      <c r="F1648" t="str">
        <f>"51.3201"</f>
        <v>51.3201</v>
      </c>
      <c r="G1648" s="8" t="s">
        <v>3361</v>
      </c>
    </row>
    <row r="1649" spans="1:7" x14ac:dyDescent="0.35">
      <c r="D1649" t="s">
        <v>275</v>
      </c>
      <c r="E1649" t="s">
        <v>251</v>
      </c>
      <c r="F1649" t="str">
        <f>"51.3202"</f>
        <v>51.3202</v>
      </c>
      <c r="G1649" s="8" t="s">
        <v>3362</v>
      </c>
    </row>
    <row r="1650" spans="1:7" x14ac:dyDescent="0.35">
      <c r="D1650" t="s">
        <v>275</v>
      </c>
      <c r="E1650" t="s">
        <v>251</v>
      </c>
      <c r="F1650" t="str">
        <f>"51.3204"</f>
        <v>51.3204</v>
      </c>
      <c r="G1650" s="8" t="s">
        <v>3363</v>
      </c>
    </row>
    <row r="1651" spans="1:7" x14ac:dyDescent="0.35">
      <c r="D1651" t="s">
        <v>275</v>
      </c>
      <c r="E1651" t="s">
        <v>251</v>
      </c>
      <c r="F1651" t="str">
        <f>"51.3205"</f>
        <v>51.3205</v>
      </c>
      <c r="G1651" s="8" t="s">
        <v>3364</v>
      </c>
    </row>
    <row r="1652" spans="1:7" x14ac:dyDescent="0.35">
      <c r="D1652" t="s">
        <v>275</v>
      </c>
      <c r="E1652" t="s">
        <v>251</v>
      </c>
      <c r="F1652" t="str">
        <f>"51.3206"</f>
        <v>51.3206</v>
      </c>
      <c r="G1652" s="8" t="s">
        <v>3365</v>
      </c>
    </row>
    <row r="1653" spans="1:7" ht="29" x14ac:dyDescent="0.35">
      <c r="D1653" t="s">
        <v>275</v>
      </c>
      <c r="E1653" t="s">
        <v>251</v>
      </c>
      <c r="F1653" t="str">
        <f>"51.3299"</f>
        <v>51.3299</v>
      </c>
      <c r="G1653" s="8" t="s">
        <v>3366</v>
      </c>
    </row>
    <row r="1654" spans="1:7" ht="29" x14ac:dyDescent="0.35">
      <c r="A1654" t="str">
        <f>"51.3300"</f>
        <v>51.3300</v>
      </c>
      <c r="B1654" t="s">
        <v>3367</v>
      </c>
      <c r="C1654" s="8" t="s">
        <v>3368</v>
      </c>
      <c r="D1654" t="s">
        <v>250</v>
      </c>
      <c r="E1654" t="s">
        <v>251</v>
      </c>
      <c r="F1654" t="str">
        <f>"51.3300"</f>
        <v>51.3300</v>
      </c>
      <c r="G1654" s="8" t="s">
        <v>3368</v>
      </c>
    </row>
    <row r="1655" spans="1:7" x14ac:dyDescent="0.35">
      <c r="A1655" t="str">
        <f>"51.3301"</f>
        <v>51.3301</v>
      </c>
      <c r="B1655" t="s">
        <v>3369</v>
      </c>
      <c r="C1655" s="8" t="s">
        <v>3370</v>
      </c>
      <c r="D1655" t="s">
        <v>250</v>
      </c>
      <c r="E1655" t="s">
        <v>251</v>
      </c>
      <c r="F1655" t="str">
        <f>"51.3301"</f>
        <v>51.3301</v>
      </c>
      <c r="G1655" s="8" t="s">
        <v>3370</v>
      </c>
    </row>
    <row r="1656" spans="1:7" ht="29" x14ac:dyDescent="0.35">
      <c r="A1656" t="str">
        <f>"51.3302"</f>
        <v>51.3302</v>
      </c>
      <c r="B1656" t="s">
        <v>3371</v>
      </c>
      <c r="C1656" s="8" t="s">
        <v>3372</v>
      </c>
      <c r="D1656" t="s">
        <v>250</v>
      </c>
      <c r="E1656" t="s">
        <v>251</v>
      </c>
      <c r="F1656" t="str">
        <f>"51.3302"</f>
        <v>51.3302</v>
      </c>
      <c r="G1656" s="8" t="s">
        <v>3372</v>
      </c>
    </row>
    <row r="1657" spans="1:7" x14ac:dyDescent="0.35">
      <c r="A1657" t="str">
        <f>"51.3303"</f>
        <v>51.3303</v>
      </c>
      <c r="B1657" t="s">
        <v>3373</v>
      </c>
      <c r="C1657" s="8" t="s">
        <v>3374</v>
      </c>
      <c r="D1657" t="s">
        <v>250</v>
      </c>
      <c r="E1657" t="s">
        <v>251</v>
      </c>
      <c r="F1657" t="str">
        <f>"51.3303"</f>
        <v>51.3303</v>
      </c>
      <c r="G1657" s="8" t="s">
        <v>3374</v>
      </c>
    </row>
    <row r="1658" spans="1:7" x14ac:dyDescent="0.35">
      <c r="A1658" t="str">
        <f>"51.3304"</f>
        <v>51.3304</v>
      </c>
      <c r="B1658" t="s">
        <v>3375</v>
      </c>
      <c r="C1658" s="8" t="s">
        <v>3376</v>
      </c>
      <c r="D1658" t="s">
        <v>250</v>
      </c>
      <c r="E1658" t="s">
        <v>251</v>
      </c>
      <c r="F1658" t="str">
        <f>"51.3304"</f>
        <v>51.3304</v>
      </c>
      <c r="G1658" s="8" t="s">
        <v>3376</v>
      </c>
    </row>
    <row r="1659" spans="1:7" x14ac:dyDescent="0.35">
      <c r="A1659" t="str">
        <f>"51.3305"</f>
        <v>51.3305</v>
      </c>
      <c r="B1659" t="s">
        <v>3377</v>
      </c>
      <c r="C1659" s="8" t="s">
        <v>3378</v>
      </c>
      <c r="D1659" t="s">
        <v>250</v>
      </c>
      <c r="E1659" t="s">
        <v>251</v>
      </c>
      <c r="F1659" t="str">
        <f>"51.3305"</f>
        <v>51.3305</v>
      </c>
      <c r="G1659" s="8" t="s">
        <v>3378</v>
      </c>
    </row>
    <row r="1660" spans="1:7" x14ac:dyDescent="0.35">
      <c r="A1660" t="str">
        <f>"51.3306"</f>
        <v>51.3306</v>
      </c>
      <c r="B1660" t="s">
        <v>3379</v>
      </c>
      <c r="C1660" s="8" t="s">
        <v>3380</v>
      </c>
      <c r="D1660" t="s">
        <v>250</v>
      </c>
      <c r="E1660" t="s">
        <v>264</v>
      </c>
      <c r="F1660" t="str">
        <f>"51.3306"</f>
        <v>51.3306</v>
      </c>
      <c r="G1660" s="8" t="s">
        <v>3381</v>
      </c>
    </row>
    <row r="1661" spans="1:7" ht="29" x14ac:dyDescent="0.35">
      <c r="A1661" t="str">
        <f>"51.3399"</f>
        <v>51.3399</v>
      </c>
      <c r="B1661" t="s">
        <v>3382</v>
      </c>
      <c r="C1661" s="8" t="s">
        <v>3383</v>
      </c>
      <c r="D1661" t="s">
        <v>250</v>
      </c>
      <c r="E1661" t="s">
        <v>251</v>
      </c>
      <c r="F1661" t="str">
        <f>"51.3399"</f>
        <v>51.3399</v>
      </c>
      <c r="G1661" s="8" t="s">
        <v>3383</v>
      </c>
    </row>
    <row r="1662" spans="1:7" x14ac:dyDescent="0.35">
      <c r="A1662" t="str">
        <f>"51.3401"</f>
        <v>51.3401</v>
      </c>
      <c r="B1662" t="s">
        <v>3384</v>
      </c>
      <c r="C1662" s="8" t="s">
        <v>3385</v>
      </c>
      <c r="D1662" t="s">
        <v>250</v>
      </c>
      <c r="E1662" t="s">
        <v>251</v>
      </c>
      <c r="F1662" t="str">
        <f>"51.3401"</f>
        <v>51.3401</v>
      </c>
      <c r="G1662" s="8" t="s">
        <v>3385</v>
      </c>
    </row>
    <row r="1663" spans="1:7" ht="29" x14ac:dyDescent="0.35">
      <c r="A1663" t="str">
        <f>"51.3499"</f>
        <v>51.3499</v>
      </c>
      <c r="B1663" t="s">
        <v>3386</v>
      </c>
      <c r="C1663" s="8" t="s">
        <v>3387</v>
      </c>
      <c r="D1663" t="s">
        <v>250</v>
      </c>
      <c r="E1663" t="s">
        <v>251</v>
      </c>
      <c r="F1663" t="str">
        <f>"51.3499"</f>
        <v>51.3499</v>
      </c>
      <c r="G1663" s="8" t="s">
        <v>3387</v>
      </c>
    </row>
    <row r="1664" spans="1:7" x14ac:dyDescent="0.35">
      <c r="A1664" t="str">
        <f>"51.3501"</f>
        <v>51.3501</v>
      </c>
      <c r="B1664" t="s">
        <v>3388</v>
      </c>
      <c r="C1664" s="8" t="s">
        <v>3389</v>
      </c>
      <c r="D1664" t="s">
        <v>250</v>
      </c>
      <c r="E1664" t="s">
        <v>251</v>
      </c>
      <c r="F1664" t="str">
        <f>"51.3501"</f>
        <v>51.3501</v>
      </c>
      <c r="G1664" s="8" t="s">
        <v>3389</v>
      </c>
    </row>
    <row r="1665" spans="1:7" x14ac:dyDescent="0.35">
      <c r="A1665" t="str">
        <f>"51.3502"</f>
        <v>51.3502</v>
      </c>
      <c r="B1665" t="s">
        <v>3390</v>
      </c>
      <c r="C1665" s="8" t="s">
        <v>3391</v>
      </c>
      <c r="D1665" t="s">
        <v>250</v>
      </c>
      <c r="E1665" t="s">
        <v>251</v>
      </c>
      <c r="F1665" t="str">
        <f>"51.3502"</f>
        <v>51.3502</v>
      </c>
      <c r="G1665" s="8" t="s">
        <v>3391</v>
      </c>
    </row>
    <row r="1666" spans="1:7" x14ac:dyDescent="0.35">
      <c r="A1666" t="str">
        <f>"51.3503"</f>
        <v>51.3503</v>
      </c>
      <c r="B1666" t="s">
        <v>3392</v>
      </c>
      <c r="C1666" s="8" t="s">
        <v>3393</v>
      </c>
      <c r="D1666" t="s">
        <v>250</v>
      </c>
      <c r="E1666" t="s">
        <v>251</v>
      </c>
      <c r="F1666" t="str">
        <f>"51.3503"</f>
        <v>51.3503</v>
      </c>
      <c r="G1666" s="8" t="s">
        <v>3393</v>
      </c>
    </row>
    <row r="1667" spans="1:7" ht="29" x14ac:dyDescent="0.35">
      <c r="A1667" t="str">
        <f>"51.3599"</f>
        <v>51.3599</v>
      </c>
      <c r="B1667" t="s">
        <v>3394</v>
      </c>
      <c r="C1667" s="8" t="s">
        <v>3395</v>
      </c>
      <c r="D1667" t="s">
        <v>250</v>
      </c>
      <c r="E1667" t="s">
        <v>251</v>
      </c>
      <c r="F1667" t="str">
        <f>"51.3599"</f>
        <v>51.3599</v>
      </c>
      <c r="G1667" s="8" t="s">
        <v>3395</v>
      </c>
    </row>
    <row r="1668" spans="1:7" ht="29" x14ac:dyDescent="0.35">
      <c r="A1668" t="str">
        <f>"51.3601"</f>
        <v>51.3601</v>
      </c>
      <c r="B1668" t="s">
        <v>3396</v>
      </c>
      <c r="C1668" s="8" t="s">
        <v>3397</v>
      </c>
      <c r="D1668" t="s">
        <v>250</v>
      </c>
      <c r="E1668" t="s">
        <v>251</v>
      </c>
      <c r="F1668" t="str">
        <f>"51.3601"</f>
        <v>51.3601</v>
      </c>
      <c r="G1668" s="8" t="s">
        <v>3397</v>
      </c>
    </row>
    <row r="1669" spans="1:7" x14ac:dyDescent="0.35">
      <c r="A1669" t="str">
        <f>"51.3602"</f>
        <v>51.3602</v>
      </c>
      <c r="B1669" t="s">
        <v>3398</v>
      </c>
      <c r="C1669" s="8" t="s">
        <v>3399</v>
      </c>
      <c r="D1669" t="s">
        <v>250</v>
      </c>
      <c r="E1669" t="s">
        <v>251</v>
      </c>
      <c r="F1669" t="str">
        <f>"51.3602"</f>
        <v>51.3602</v>
      </c>
      <c r="G1669" s="8" t="s">
        <v>3399</v>
      </c>
    </row>
    <row r="1670" spans="1:7" x14ac:dyDescent="0.35">
      <c r="A1670" t="str">
        <f>"51.3603"</f>
        <v>51.3603</v>
      </c>
      <c r="B1670" t="s">
        <v>3400</v>
      </c>
      <c r="C1670" s="8" t="s">
        <v>3401</v>
      </c>
      <c r="D1670" t="s">
        <v>250</v>
      </c>
      <c r="E1670" t="s">
        <v>251</v>
      </c>
      <c r="F1670" t="str">
        <f>"51.3603"</f>
        <v>51.3603</v>
      </c>
      <c r="G1670" s="8" t="s">
        <v>3401</v>
      </c>
    </row>
    <row r="1671" spans="1:7" ht="29" x14ac:dyDescent="0.35">
      <c r="A1671" t="str">
        <f>"51.3699"</f>
        <v>51.3699</v>
      </c>
      <c r="B1671" t="s">
        <v>3402</v>
      </c>
      <c r="C1671" s="8" t="s">
        <v>3403</v>
      </c>
      <c r="D1671" t="s">
        <v>250</v>
      </c>
      <c r="E1671" t="s">
        <v>251</v>
      </c>
      <c r="F1671" t="str">
        <f>"51.3699"</f>
        <v>51.3699</v>
      </c>
      <c r="G1671" s="8" t="s">
        <v>3403</v>
      </c>
    </row>
    <row r="1672" spans="1:7" x14ac:dyDescent="0.35">
      <c r="A1672" t="str">
        <f>"51.3701"</f>
        <v>51.3701</v>
      </c>
      <c r="B1672" t="s">
        <v>3404</v>
      </c>
      <c r="C1672" s="8" t="s">
        <v>3405</v>
      </c>
      <c r="D1672" t="s">
        <v>250</v>
      </c>
      <c r="E1672" t="s">
        <v>251</v>
      </c>
      <c r="F1672" t="str">
        <f>"51.3701"</f>
        <v>51.3701</v>
      </c>
      <c r="G1672" s="8" t="s">
        <v>3405</v>
      </c>
    </row>
    <row r="1673" spans="1:7" x14ac:dyDescent="0.35">
      <c r="A1673" t="str">
        <f>"51.3702"</f>
        <v>51.3702</v>
      </c>
      <c r="B1673" t="s">
        <v>3406</v>
      </c>
      <c r="C1673" s="8" t="s">
        <v>3407</v>
      </c>
      <c r="D1673" t="s">
        <v>250</v>
      </c>
      <c r="E1673" t="s">
        <v>251</v>
      </c>
      <c r="F1673" t="str">
        <f>"51.3702"</f>
        <v>51.3702</v>
      </c>
      <c r="G1673" s="8" t="s">
        <v>3407</v>
      </c>
    </row>
    <row r="1674" spans="1:7" x14ac:dyDescent="0.35">
      <c r="A1674" t="str">
        <f>"51.3703"</f>
        <v>51.3703</v>
      </c>
      <c r="B1674" t="s">
        <v>3408</v>
      </c>
      <c r="C1674" s="8" t="s">
        <v>3409</v>
      </c>
      <c r="D1674" t="s">
        <v>250</v>
      </c>
      <c r="E1674" t="s">
        <v>251</v>
      </c>
      <c r="F1674" t="str">
        <f>"51.3703"</f>
        <v>51.3703</v>
      </c>
      <c r="G1674" s="8" t="s">
        <v>3409</v>
      </c>
    </row>
    <row r="1675" spans="1:7" x14ac:dyDescent="0.35">
      <c r="A1675" t="str">
        <f>"51.3704"</f>
        <v>51.3704</v>
      </c>
      <c r="B1675" t="s">
        <v>3410</v>
      </c>
      <c r="C1675" s="8" t="s">
        <v>3411</v>
      </c>
      <c r="D1675" t="s">
        <v>250</v>
      </c>
      <c r="E1675" t="s">
        <v>251</v>
      </c>
      <c r="F1675" t="str">
        <f>"51.3704"</f>
        <v>51.3704</v>
      </c>
      <c r="G1675" s="8" t="s">
        <v>3411</v>
      </c>
    </row>
    <row r="1676" spans="1:7" ht="29" x14ac:dyDescent="0.35">
      <c r="A1676" t="str">
        <f>"51.3799"</f>
        <v>51.3799</v>
      </c>
      <c r="B1676" t="s">
        <v>3412</v>
      </c>
      <c r="C1676" s="8" t="s">
        <v>3413</v>
      </c>
      <c r="D1676" t="s">
        <v>250</v>
      </c>
      <c r="E1676" t="s">
        <v>251</v>
      </c>
      <c r="F1676" t="str">
        <f>"51.3799"</f>
        <v>51.3799</v>
      </c>
      <c r="G1676" s="8" t="s">
        <v>3413</v>
      </c>
    </row>
    <row r="1677" spans="1:7" x14ac:dyDescent="0.35">
      <c r="A1677" t="str">
        <f>"51.3801"</f>
        <v>51.3801</v>
      </c>
      <c r="B1677" t="s">
        <v>3414</v>
      </c>
      <c r="C1677" s="8" t="s">
        <v>3415</v>
      </c>
      <c r="D1677" t="s">
        <v>250</v>
      </c>
      <c r="E1677" t="s">
        <v>251</v>
      </c>
      <c r="F1677" t="str">
        <f>"51.3801"</f>
        <v>51.3801</v>
      </c>
      <c r="G1677" s="8" t="s">
        <v>3415</v>
      </c>
    </row>
    <row r="1678" spans="1:7" x14ac:dyDescent="0.35">
      <c r="A1678" t="str">
        <f>"51.3802"</f>
        <v>51.3802</v>
      </c>
      <c r="B1678" t="s">
        <v>3416</v>
      </c>
      <c r="C1678" s="8" t="s">
        <v>3417</v>
      </c>
      <c r="D1678" t="s">
        <v>250</v>
      </c>
      <c r="E1678" t="s">
        <v>251</v>
      </c>
      <c r="F1678" t="str">
        <f>"51.3802"</f>
        <v>51.3802</v>
      </c>
      <c r="G1678" s="8" t="s">
        <v>3417</v>
      </c>
    </row>
    <row r="1679" spans="1:7" x14ac:dyDescent="0.35">
      <c r="A1679" t="str">
        <f>"51.3803"</f>
        <v>51.3803</v>
      </c>
      <c r="B1679" t="s">
        <v>3418</v>
      </c>
      <c r="C1679" s="8" t="s">
        <v>3419</v>
      </c>
      <c r="D1679" t="s">
        <v>250</v>
      </c>
      <c r="E1679" t="s">
        <v>251</v>
      </c>
      <c r="F1679" t="str">
        <f>"51.3803"</f>
        <v>51.3803</v>
      </c>
      <c r="G1679" s="8" t="s">
        <v>3419</v>
      </c>
    </row>
    <row r="1680" spans="1:7" x14ac:dyDescent="0.35">
      <c r="A1680" t="str">
        <f>"51.3804"</f>
        <v>51.3804</v>
      </c>
      <c r="B1680" t="s">
        <v>3420</v>
      </c>
      <c r="C1680" s="8" t="s">
        <v>3421</v>
      </c>
      <c r="D1680" t="s">
        <v>250</v>
      </c>
      <c r="E1680" t="s">
        <v>251</v>
      </c>
      <c r="F1680" t="str">
        <f>"51.3804"</f>
        <v>51.3804</v>
      </c>
      <c r="G1680" s="8" t="s">
        <v>3421</v>
      </c>
    </row>
    <row r="1681" spans="1:7" x14ac:dyDescent="0.35">
      <c r="A1681" t="str">
        <f>"51.3805"</f>
        <v>51.3805</v>
      </c>
      <c r="B1681" t="s">
        <v>3422</v>
      </c>
      <c r="C1681" s="8" t="s">
        <v>3423</v>
      </c>
      <c r="D1681" t="s">
        <v>250</v>
      </c>
      <c r="E1681" t="s">
        <v>251</v>
      </c>
      <c r="F1681" t="str">
        <f>"51.3805"</f>
        <v>51.3805</v>
      </c>
      <c r="G1681" s="8" t="s">
        <v>3423</v>
      </c>
    </row>
    <row r="1682" spans="1:7" ht="29" x14ac:dyDescent="0.35">
      <c r="A1682" t="str">
        <f>"51.3806"</f>
        <v>51.3806</v>
      </c>
      <c r="B1682" t="s">
        <v>3424</v>
      </c>
      <c r="C1682" s="8" t="s">
        <v>3425</v>
      </c>
      <c r="D1682" t="s">
        <v>250</v>
      </c>
      <c r="E1682" t="s">
        <v>251</v>
      </c>
      <c r="F1682" t="str">
        <f>"51.3806"</f>
        <v>51.3806</v>
      </c>
      <c r="G1682" s="8" t="s">
        <v>3425</v>
      </c>
    </row>
    <row r="1683" spans="1:7" x14ac:dyDescent="0.35">
      <c r="A1683" t="str">
        <f>"51.3807"</f>
        <v>51.3807</v>
      </c>
      <c r="B1683" t="s">
        <v>3426</v>
      </c>
      <c r="C1683" s="8" t="s">
        <v>3427</v>
      </c>
      <c r="D1683" t="s">
        <v>250</v>
      </c>
      <c r="E1683" t="s">
        <v>251</v>
      </c>
      <c r="F1683" t="str">
        <f>"51.3807"</f>
        <v>51.3807</v>
      </c>
      <c r="G1683" s="8" t="s">
        <v>3427</v>
      </c>
    </row>
    <row r="1684" spans="1:7" x14ac:dyDescent="0.35">
      <c r="A1684" t="str">
        <f>"51.3808"</f>
        <v>51.3808</v>
      </c>
      <c r="B1684" t="s">
        <v>3428</v>
      </c>
      <c r="C1684" s="8" t="s">
        <v>3429</v>
      </c>
      <c r="D1684" t="s">
        <v>250</v>
      </c>
      <c r="E1684" t="s">
        <v>251</v>
      </c>
      <c r="F1684" t="str">
        <f>"51.3808"</f>
        <v>51.3808</v>
      </c>
      <c r="G1684" s="8" t="s">
        <v>3429</v>
      </c>
    </row>
    <row r="1685" spans="1:7" x14ac:dyDescent="0.35">
      <c r="A1685" t="str">
        <f>"51.3809"</f>
        <v>51.3809</v>
      </c>
      <c r="B1685" t="s">
        <v>3430</v>
      </c>
      <c r="C1685" s="8" t="s">
        <v>3431</v>
      </c>
      <c r="D1685" t="s">
        <v>250</v>
      </c>
      <c r="E1685" t="s">
        <v>251</v>
      </c>
      <c r="F1685" t="str">
        <f>"51.3809"</f>
        <v>51.3809</v>
      </c>
      <c r="G1685" s="8" t="s">
        <v>3431</v>
      </c>
    </row>
    <row r="1686" spans="1:7" x14ac:dyDescent="0.35">
      <c r="A1686" t="str">
        <f>"51.3810"</f>
        <v>51.3810</v>
      </c>
      <c r="B1686" t="s">
        <v>3432</v>
      </c>
      <c r="C1686" s="8" t="s">
        <v>3433</v>
      </c>
      <c r="D1686" t="s">
        <v>250</v>
      </c>
      <c r="E1686" t="s">
        <v>251</v>
      </c>
      <c r="F1686" t="str">
        <f>"51.3810"</f>
        <v>51.3810</v>
      </c>
      <c r="G1686" s="8" t="s">
        <v>3433</v>
      </c>
    </row>
    <row r="1687" spans="1:7" x14ac:dyDescent="0.35">
      <c r="A1687" t="str">
        <f>"51.3811"</f>
        <v>51.3811</v>
      </c>
      <c r="B1687" t="s">
        <v>3434</v>
      </c>
      <c r="C1687" s="8" t="s">
        <v>3435</v>
      </c>
      <c r="D1687" t="s">
        <v>250</v>
      </c>
      <c r="E1687" t="s">
        <v>251</v>
      </c>
      <c r="F1687" t="str">
        <f>"51.3811"</f>
        <v>51.3811</v>
      </c>
      <c r="G1687" s="8" t="s">
        <v>3435</v>
      </c>
    </row>
    <row r="1688" spans="1:7" ht="29" x14ac:dyDescent="0.35">
      <c r="A1688" t="str">
        <f>"51.3812"</f>
        <v>51.3812</v>
      </c>
      <c r="B1688" t="s">
        <v>3436</v>
      </c>
      <c r="C1688" s="8" t="s">
        <v>3437</v>
      </c>
      <c r="D1688" t="s">
        <v>250</v>
      </c>
      <c r="E1688" t="s">
        <v>251</v>
      </c>
      <c r="F1688" t="str">
        <f>"51.3812"</f>
        <v>51.3812</v>
      </c>
      <c r="G1688" s="8" t="s">
        <v>3437</v>
      </c>
    </row>
    <row r="1689" spans="1:7" x14ac:dyDescent="0.35">
      <c r="A1689" t="str">
        <f>"51.3813"</f>
        <v>51.3813</v>
      </c>
      <c r="B1689" t="s">
        <v>3438</v>
      </c>
      <c r="C1689" s="8" t="s">
        <v>3439</v>
      </c>
      <c r="D1689" t="s">
        <v>250</v>
      </c>
      <c r="E1689" t="s">
        <v>251</v>
      </c>
      <c r="F1689" t="str">
        <f>"51.3813"</f>
        <v>51.3813</v>
      </c>
      <c r="G1689" s="8" t="s">
        <v>3439</v>
      </c>
    </row>
    <row r="1690" spans="1:7" x14ac:dyDescent="0.35">
      <c r="A1690" t="str">
        <f>"51.3814"</f>
        <v>51.3814</v>
      </c>
      <c r="B1690" t="s">
        <v>3440</v>
      </c>
      <c r="C1690" s="8" t="s">
        <v>3441</v>
      </c>
      <c r="D1690" t="s">
        <v>250</v>
      </c>
      <c r="E1690" t="s">
        <v>251</v>
      </c>
      <c r="F1690" t="str">
        <f>"51.3814"</f>
        <v>51.3814</v>
      </c>
      <c r="G1690" s="8" t="s">
        <v>3441</v>
      </c>
    </row>
    <row r="1691" spans="1:7" ht="29" x14ac:dyDescent="0.35">
      <c r="A1691" t="str">
        <f>"51.3815"</f>
        <v>51.3815</v>
      </c>
      <c r="B1691" t="s">
        <v>3442</v>
      </c>
      <c r="C1691" s="8" t="s">
        <v>3443</v>
      </c>
      <c r="D1691" t="s">
        <v>250</v>
      </c>
      <c r="E1691" t="s">
        <v>251</v>
      </c>
      <c r="F1691" t="str">
        <f>"51.3815"</f>
        <v>51.3815</v>
      </c>
      <c r="G1691" s="8" t="s">
        <v>3443</v>
      </c>
    </row>
    <row r="1692" spans="1:7" x14ac:dyDescent="0.35">
      <c r="A1692" t="str">
        <f>"51.3816"</f>
        <v>51.3816</v>
      </c>
      <c r="B1692" t="s">
        <v>3444</v>
      </c>
      <c r="C1692" s="8" t="s">
        <v>3445</v>
      </c>
      <c r="D1692" t="s">
        <v>250</v>
      </c>
      <c r="E1692" t="s">
        <v>251</v>
      </c>
      <c r="F1692" t="str">
        <f>"51.3816"</f>
        <v>51.3816</v>
      </c>
      <c r="G1692" s="8" t="s">
        <v>3445</v>
      </c>
    </row>
    <row r="1693" spans="1:7" x14ac:dyDescent="0.35">
      <c r="A1693" t="str">
        <f>"51.3817"</f>
        <v>51.3817</v>
      </c>
      <c r="B1693" t="s">
        <v>3446</v>
      </c>
      <c r="C1693" s="8" t="s">
        <v>3447</v>
      </c>
      <c r="D1693" t="s">
        <v>295</v>
      </c>
      <c r="E1693" t="s">
        <v>251</v>
      </c>
      <c r="F1693" t="str">
        <f>"51.3203"</f>
        <v>51.3203</v>
      </c>
      <c r="G1693" s="8" t="s">
        <v>3447</v>
      </c>
    </row>
    <row r="1694" spans="1:7" x14ac:dyDescent="0.35">
      <c r="A1694" t="str">
        <f>"51.3818"</f>
        <v>51.3818</v>
      </c>
      <c r="B1694" t="s">
        <v>3448</v>
      </c>
      <c r="C1694" s="8" t="s">
        <v>3449</v>
      </c>
      <c r="D1694" t="s">
        <v>250</v>
      </c>
      <c r="E1694" t="s">
        <v>251</v>
      </c>
      <c r="F1694" t="str">
        <f>"51.3818"</f>
        <v>51.3818</v>
      </c>
      <c r="G1694" s="8" t="s">
        <v>3449</v>
      </c>
    </row>
    <row r="1695" spans="1:7" x14ac:dyDescent="0.35">
      <c r="A1695" t="str">
        <f>"51.3819"</f>
        <v>51.3819</v>
      </c>
      <c r="B1695" t="s">
        <v>3450</v>
      </c>
      <c r="C1695" s="8" t="s">
        <v>3451</v>
      </c>
      <c r="D1695" t="s">
        <v>250</v>
      </c>
      <c r="E1695" t="s">
        <v>251</v>
      </c>
      <c r="F1695" t="str">
        <f>"51.3819"</f>
        <v>51.3819</v>
      </c>
      <c r="G1695" s="8" t="s">
        <v>3451</v>
      </c>
    </row>
    <row r="1696" spans="1:7" x14ac:dyDescent="0.35">
      <c r="A1696" t="str">
        <f>"51.3820"</f>
        <v>51.3820</v>
      </c>
      <c r="B1696" t="s">
        <v>3452</v>
      </c>
      <c r="C1696" s="8" t="s">
        <v>3453</v>
      </c>
      <c r="D1696" t="s">
        <v>250</v>
      </c>
      <c r="E1696" t="s">
        <v>251</v>
      </c>
      <c r="F1696" t="str">
        <f>"51.3820"</f>
        <v>51.3820</v>
      </c>
      <c r="G1696" s="8" t="s">
        <v>3453</v>
      </c>
    </row>
    <row r="1697" spans="1:7" x14ac:dyDescent="0.35">
      <c r="A1697" t="str">
        <f>"51.3821"</f>
        <v>51.3821</v>
      </c>
      <c r="B1697" t="s">
        <v>3454</v>
      </c>
      <c r="C1697" s="8" t="s">
        <v>3455</v>
      </c>
      <c r="D1697" t="s">
        <v>250</v>
      </c>
      <c r="E1697" t="s">
        <v>251</v>
      </c>
      <c r="F1697" t="str">
        <f>"51.3821"</f>
        <v>51.3821</v>
      </c>
      <c r="G1697" s="8" t="s">
        <v>3455</v>
      </c>
    </row>
    <row r="1698" spans="1:7" x14ac:dyDescent="0.35">
      <c r="A1698" t="str">
        <f>"51.3822"</f>
        <v>51.3822</v>
      </c>
      <c r="B1698" t="s">
        <v>3456</v>
      </c>
      <c r="C1698" s="8" t="s">
        <v>3457</v>
      </c>
      <c r="D1698" t="s">
        <v>250</v>
      </c>
      <c r="E1698" t="s">
        <v>251</v>
      </c>
      <c r="F1698" t="str">
        <f>"51.3822"</f>
        <v>51.3822</v>
      </c>
      <c r="G1698" s="8" t="s">
        <v>3457</v>
      </c>
    </row>
    <row r="1699" spans="1:7" x14ac:dyDescent="0.35">
      <c r="D1699" t="s">
        <v>275</v>
      </c>
      <c r="E1699" t="s">
        <v>251</v>
      </c>
      <c r="F1699" t="str">
        <f>"51.3823"</f>
        <v>51.3823</v>
      </c>
      <c r="G1699" s="8" t="s">
        <v>301</v>
      </c>
    </row>
    <row r="1700" spans="1:7" x14ac:dyDescent="0.35">
      <c r="D1700" t="s">
        <v>275</v>
      </c>
      <c r="E1700" t="s">
        <v>251</v>
      </c>
      <c r="F1700" t="str">
        <f>"51.3824"</f>
        <v>51.3824</v>
      </c>
      <c r="G1700" s="8" t="s">
        <v>3458</v>
      </c>
    </row>
    <row r="1701" spans="1:7" ht="43.5" x14ac:dyDescent="0.35">
      <c r="A1701" t="str">
        <f>"51.3899"</f>
        <v>51.3899</v>
      </c>
      <c r="B1701" t="s">
        <v>3459</v>
      </c>
      <c r="C1701" s="8" t="s">
        <v>3460</v>
      </c>
      <c r="D1701" t="s">
        <v>250</v>
      </c>
      <c r="E1701" t="s">
        <v>251</v>
      </c>
      <c r="F1701" t="str">
        <f>"51.3899"</f>
        <v>51.3899</v>
      </c>
      <c r="G1701" s="8" t="s">
        <v>3460</v>
      </c>
    </row>
    <row r="1702" spans="1:7" ht="29" x14ac:dyDescent="0.35">
      <c r="A1702" t="str">
        <f>"51.3901"</f>
        <v>51.3901</v>
      </c>
      <c r="B1702" t="s">
        <v>3461</v>
      </c>
      <c r="C1702" s="8" t="s">
        <v>3462</v>
      </c>
      <c r="D1702" t="s">
        <v>250</v>
      </c>
      <c r="E1702" t="s">
        <v>251</v>
      </c>
      <c r="F1702" t="str">
        <f>"51.3901"</f>
        <v>51.3901</v>
      </c>
      <c r="G1702" s="8" t="s">
        <v>3462</v>
      </c>
    </row>
    <row r="1703" spans="1:7" ht="29" x14ac:dyDescent="0.35">
      <c r="A1703" t="str">
        <f>"51.3902"</f>
        <v>51.3902</v>
      </c>
      <c r="B1703" t="s">
        <v>3463</v>
      </c>
      <c r="C1703" s="8" t="s">
        <v>3464</v>
      </c>
      <c r="D1703" t="s">
        <v>250</v>
      </c>
      <c r="E1703" t="s">
        <v>251</v>
      </c>
      <c r="F1703" t="str">
        <f>"51.3902"</f>
        <v>51.3902</v>
      </c>
      <c r="G1703" s="8" t="s">
        <v>3464</v>
      </c>
    </row>
    <row r="1704" spans="1:7" ht="29" x14ac:dyDescent="0.35">
      <c r="A1704" t="str">
        <f>"51.3999"</f>
        <v>51.3999</v>
      </c>
      <c r="B1704" t="s">
        <v>3465</v>
      </c>
      <c r="C1704" s="8" t="s">
        <v>3466</v>
      </c>
      <c r="D1704" t="s">
        <v>250</v>
      </c>
      <c r="E1704" t="s">
        <v>251</v>
      </c>
      <c r="F1704" t="str">
        <f>"51.3999"</f>
        <v>51.3999</v>
      </c>
      <c r="G1704" s="8" t="s">
        <v>3466</v>
      </c>
    </row>
    <row r="1705" spans="1:7" x14ac:dyDescent="0.35">
      <c r="D1705" t="s">
        <v>275</v>
      </c>
      <c r="E1705" t="s">
        <v>251</v>
      </c>
      <c r="F1705" t="str">
        <f>"51.9980"</f>
        <v>51.9980</v>
      </c>
      <c r="G1705" s="8" t="s">
        <v>301</v>
      </c>
    </row>
    <row r="1706" spans="1:7" ht="29" x14ac:dyDescent="0.35">
      <c r="A1706" t="str">
        <f>"51.9999"</f>
        <v>51.9999</v>
      </c>
      <c r="B1706" t="s">
        <v>3467</v>
      </c>
      <c r="C1706" s="8" t="s">
        <v>3468</v>
      </c>
      <c r="D1706" t="s">
        <v>250</v>
      </c>
      <c r="E1706" t="s">
        <v>251</v>
      </c>
      <c r="F1706" t="str">
        <f>"51.9999"</f>
        <v>51.9999</v>
      </c>
      <c r="G1706" s="8" t="s">
        <v>3468</v>
      </c>
    </row>
    <row r="1707" spans="1:7" x14ac:dyDescent="0.35">
      <c r="A1707" t="str">
        <f>"52.0101"</f>
        <v>52.0101</v>
      </c>
      <c r="B1707" t="s">
        <v>3469</v>
      </c>
      <c r="C1707" s="8" t="s">
        <v>3470</v>
      </c>
      <c r="D1707" t="s">
        <v>250</v>
      </c>
      <c r="E1707" t="s">
        <v>251</v>
      </c>
      <c r="F1707" t="str">
        <f>"52.0101"</f>
        <v>52.0101</v>
      </c>
      <c r="G1707" s="8" t="s">
        <v>3470</v>
      </c>
    </row>
    <row r="1708" spans="1:7" ht="29" x14ac:dyDescent="0.35">
      <c r="A1708" t="str">
        <f>"52.0201"</f>
        <v>52.0201</v>
      </c>
      <c r="B1708" t="s">
        <v>3471</v>
      </c>
      <c r="C1708" s="8" t="s">
        <v>3472</v>
      </c>
      <c r="D1708" t="s">
        <v>250</v>
      </c>
      <c r="E1708" t="s">
        <v>251</v>
      </c>
      <c r="F1708" t="str">
        <f>"52.0201"</f>
        <v>52.0201</v>
      </c>
      <c r="G1708" s="8" t="s">
        <v>3472</v>
      </c>
    </row>
    <row r="1709" spans="1:7" ht="29" x14ac:dyDescent="0.35">
      <c r="A1709" t="str">
        <f>"52.0202"</f>
        <v>52.0202</v>
      </c>
      <c r="B1709" t="s">
        <v>3473</v>
      </c>
      <c r="C1709" s="8" t="s">
        <v>3474</v>
      </c>
      <c r="D1709" t="s">
        <v>250</v>
      </c>
      <c r="E1709" t="s">
        <v>251</v>
      </c>
      <c r="F1709" t="str">
        <f>"52.0202"</f>
        <v>52.0202</v>
      </c>
      <c r="G1709" s="8" t="s">
        <v>3474</v>
      </c>
    </row>
    <row r="1710" spans="1:7" ht="29" x14ac:dyDescent="0.35">
      <c r="A1710" t="str">
        <f>"52.0203"</f>
        <v>52.0203</v>
      </c>
      <c r="B1710" t="s">
        <v>3475</v>
      </c>
      <c r="C1710" s="8" t="s">
        <v>3476</v>
      </c>
      <c r="D1710" t="s">
        <v>250</v>
      </c>
      <c r="E1710" t="s">
        <v>251</v>
      </c>
      <c r="F1710" t="str">
        <f>"52.0203"</f>
        <v>52.0203</v>
      </c>
      <c r="G1710" s="8" t="s">
        <v>3476</v>
      </c>
    </row>
    <row r="1711" spans="1:7" x14ac:dyDescent="0.35">
      <c r="A1711" t="str">
        <f>"52.0204"</f>
        <v>52.0204</v>
      </c>
      <c r="B1711" t="s">
        <v>3477</v>
      </c>
      <c r="C1711" s="8" t="s">
        <v>3478</v>
      </c>
      <c r="D1711" t="s">
        <v>250</v>
      </c>
      <c r="E1711" t="s">
        <v>251</v>
      </c>
      <c r="F1711" t="str">
        <f>"52.0204"</f>
        <v>52.0204</v>
      </c>
      <c r="G1711" s="8" t="s">
        <v>3478</v>
      </c>
    </row>
    <row r="1712" spans="1:7" x14ac:dyDescent="0.35">
      <c r="A1712" t="str">
        <f>"52.0205"</f>
        <v>52.0205</v>
      </c>
      <c r="B1712" t="s">
        <v>3479</v>
      </c>
      <c r="C1712" s="8" t="s">
        <v>3480</v>
      </c>
      <c r="D1712" t="s">
        <v>250</v>
      </c>
      <c r="E1712" t="s">
        <v>251</v>
      </c>
      <c r="F1712" t="str">
        <f>"52.0205"</f>
        <v>52.0205</v>
      </c>
      <c r="G1712" s="8" t="s">
        <v>3480</v>
      </c>
    </row>
    <row r="1713" spans="1:7" ht="29" x14ac:dyDescent="0.35">
      <c r="A1713" t="str">
        <f>"52.0206"</f>
        <v>52.0206</v>
      </c>
      <c r="B1713" t="s">
        <v>3481</v>
      </c>
      <c r="C1713" s="8" t="s">
        <v>3482</v>
      </c>
      <c r="D1713" t="s">
        <v>250</v>
      </c>
      <c r="E1713" t="s">
        <v>251</v>
      </c>
      <c r="F1713" t="str">
        <f>"52.0206"</f>
        <v>52.0206</v>
      </c>
      <c r="G1713" s="8" t="s">
        <v>3482</v>
      </c>
    </row>
    <row r="1714" spans="1:7" x14ac:dyDescent="0.35">
      <c r="A1714" t="str">
        <f>"52.0207"</f>
        <v>52.0207</v>
      </c>
      <c r="B1714" t="s">
        <v>3483</v>
      </c>
      <c r="C1714" s="8" t="s">
        <v>3484</v>
      </c>
      <c r="D1714" t="s">
        <v>250</v>
      </c>
      <c r="E1714" t="s">
        <v>251</v>
      </c>
      <c r="F1714" t="str">
        <f>"52.0207"</f>
        <v>52.0207</v>
      </c>
      <c r="G1714" s="8" t="s">
        <v>3484</v>
      </c>
    </row>
    <row r="1715" spans="1:7" x14ac:dyDescent="0.35">
      <c r="A1715" t="str">
        <f>"52.0208"</f>
        <v>52.0208</v>
      </c>
      <c r="B1715" t="s">
        <v>3485</v>
      </c>
      <c r="C1715" s="8" t="s">
        <v>3486</v>
      </c>
      <c r="D1715" t="s">
        <v>250</v>
      </c>
      <c r="E1715" t="s">
        <v>251</v>
      </c>
      <c r="F1715" t="str">
        <f>"52.0208"</f>
        <v>52.0208</v>
      </c>
      <c r="G1715" s="8" t="s">
        <v>3486</v>
      </c>
    </row>
    <row r="1716" spans="1:7" x14ac:dyDescent="0.35">
      <c r="A1716" t="str">
        <f>"52.0209"</f>
        <v>52.0209</v>
      </c>
      <c r="B1716" t="s">
        <v>3487</v>
      </c>
      <c r="C1716" s="8" t="s">
        <v>3488</v>
      </c>
      <c r="D1716" t="s">
        <v>250</v>
      </c>
      <c r="E1716" t="s">
        <v>264</v>
      </c>
      <c r="F1716" t="str">
        <f>"52.0209"</f>
        <v>52.0209</v>
      </c>
      <c r="G1716" s="8" t="s">
        <v>3488</v>
      </c>
    </row>
    <row r="1717" spans="1:7" x14ac:dyDescent="0.35">
      <c r="A1717" t="str">
        <f>"52.0210"</f>
        <v>52.0210</v>
      </c>
      <c r="B1717" t="s">
        <v>3489</v>
      </c>
      <c r="C1717" s="8" t="s">
        <v>3490</v>
      </c>
      <c r="D1717" t="s">
        <v>250</v>
      </c>
      <c r="E1717" t="s">
        <v>251</v>
      </c>
      <c r="F1717" t="str">
        <f>"52.0210"</f>
        <v>52.0210</v>
      </c>
      <c r="G1717" s="8" t="s">
        <v>3490</v>
      </c>
    </row>
    <row r="1718" spans="1:7" x14ac:dyDescent="0.35">
      <c r="A1718" t="str">
        <f>"52.0211"</f>
        <v>52.0211</v>
      </c>
      <c r="B1718" t="s">
        <v>3491</v>
      </c>
      <c r="C1718" s="8" t="s">
        <v>3492</v>
      </c>
      <c r="D1718" t="s">
        <v>250</v>
      </c>
      <c r="E1718" t="s">
        <v>251</v>
      </c>
      <c r="F1718" t="str">
        <f>"52.0211"</f>
        <v>52.0211</v>
      </c>
      <c r="G1718" s="8" t="s">
        <v>3492</v>
      </c>
    </row>
    <row r="1719" spans="1:7" x14ac:dyDescent="0.35">
      <c r="A1719" t="str">
        <f>"52.0212"</f>
        <v>52.0212</v>
      </c>
      <c r="B1719" t="s">
        <v>3493</v>
      </c>
      <c r="C1719" s="8" t="s">
        <v>3494</v>
      </c>
      <c r="D1719" t="s">
        <v>250</v>
      </c>
      <c r="E1719" t="s">
        <v>251</v>
      </c>
      <c r="F1719" t="str">
        <f>"52.0212"</f>
        <v>52.0212</v>
      </c>
      <c r="G1719" s="8" t="s">
        <v>3494</v>
      </c>
    </row>
    <row r="1720" spans="1:7" x14ac:dyDescent="0.35">
      <c r="A1720" t="str">
        <f>"52.0213"</f>
        <v>52.0213</v>
      </c>
      <c r="B1720" t="s">
        <v>3495</v>
      </c>
      <c r="C1720" s="8" t="s">
        <v>3496</v>
      </c>
      <c r="D1720" t="s">
        <v>250</v>
      </c>
      <c r="E1720" t="s">
        <v>251</v>
      </c>
      <c r="F1720" t="str">
        <f>"52.0213"</f>
        <v>52.0213</v>
      </c>
      <c r="G1720" s="8" t="s">
        <v>3496</v>
      </c>
    </row>
    <row r="1721" spans="1:7" x14ac:dyDescent="0.35">
      <c r="D1721" t="s">
        <v>275</v>
      </c>
      <c r="E1721" t="s">
        <v>251</v>
      </c>
      <c r="F1721" t="str">
        <f>"52.0214"</f>
        <v>52.0214</v>
      </c>
      <c r="G1721" s="8" t="s">
        <v>3497</v>
      </c>
    </row>
    <row r="1722" spans="1:7" x14ac:dyDescent="0.35">
      <c r="D1722" t="s">
        <v>275</v>
      </c>
      <c r="E1722" t="s">
        <v>251</v>
      </c>
      <c r="F1722" t="str">
        <f>"52.0215"</f>
        <v>52.0215</v>
      </c>
      <c r="G1722" s="8" t="s">
        <v>3498</v>
      </c>
    </row>
    <row r="1723" spans="1:7" x14ac:dyDescent="0.35">
      <c r="D1723" t="s">
        <v>275</v>
      </c>
      <c r="E1723" t="s">
        <v>251</v>
      </c>
      <c r="F1723" t="str">
        <f>"52.0216"</f>
        <v>52.0216</v>
      </c>
      <c r="G1723" s="8" t="s">
        <v>3499</v>
      </c>
    </row>
    <row r="1724" spans="1:7" ht="29" x14ac:dyDescent="0.35">
      <c r="A1724" t="str">
        <f>"52.0299"</f>
        <v>52.0299</v>
      </c>
      <c r="B1724" t="s">
        <v>3500</v>
      </c>
      <c r="C1724" s="8" t="s">
        <v>3501</v>
      </c>
      <c r="D1724" t="s">
        <v>250</v>
      </c>
      <c r="E1724" t="s">
        <v>251</v>
      </c>
      <c r="F1724" t="str">
        <f>"52.0299"</f>
        <v>52.0299</v>
      </c>
      <c r="G1724" s="8" t="s">
        <v>3501</v>
      </c>
    </row>
    <row r="1725" spans="1:7" x14ac:dyDescent="0.35">
      <c r="A1725" t="str">
        <f>"52.0301"</f>
        <v>52.0301</v>
      </c>
      <c r="B1725" t="s">
        <v>3502</v>
      </c>
      <c r="C1725" s="8" t="s">
        <v>3503</v>
      </c>
      <c r="D1725" t="s">
        <v>250</v>
      </c>
      <c r="E1725" t="s">
        <v>251</v>
      </c>
      <c r="F1725" t="str">
        <f>"52.0301"</f>
        <v>52.0301</v>
      </c>
      <c r="G1725" s="8" t="s">
        <v>3503</v>
      </c>
    </row>
    <row r="1726" spans="1:7" ht="29" x14ac:dyDescent="0.35">
      <c r="A1726" t="str">
        <f>"52.0302"</f>
        <v>52.0302</v>
      </c>
      <c r="B1726" t="s">
        <v>3504</v>
      </c>
      <c r="C1726" s="8" t="s">
        <v>3505</v>
      </c>
      <c r="D1726" t="s">
        <v>250</v>
      </c>
      <c r="E1726" t="s">
        <v>251</v>
      </c>
      <c r="F1726" t="str">
        <f>"52.0302"</f>
        <v>52.0302</v>
      </c>
      <c r="G1726" s="8" t="s">
        <v>3505</v>
      </c>
    </row>
    <row r="1727" spans="1:7" x14ac:dyDescent="0.35">
      <c r="A1727" t="str">
        <f>"52.0303"</f>
        <v>52.0303</v>
      </c>
      <c r="B1727" t="s">
        <v>3506</v>
      </c>
      <c r="C1727" s="8" t="s">
        <v>3507</v>
      </c>
      <c r="D1727" t="s">
        <v>250</v>
      </c>
      <c r="E1727" t="s">
        <v>251</v>
      </c>
      <c r="F1727" t="str">
        <f>"52.0303"</f>
        <v>52.0303</v>
      </c>
      <c r="G1727" s="8" t="s">
        <v>3507</v>
      </c>
    </row>
    <row r="1728" spans="1:7" x14ac:dyDescent="0.35">
      <c r="A1728" t="str">
        <f>"52.0304"</f>
        <v>52.0304</v>
      </c>
      <c r="B1728" t="s">
        <v>3508</v>
      </c>
      <c r="C1728" s="8" t="s">
        <v>3509</v>
      </c>
      <c r="D1728" t="s">
        <v>250</v>
      </c>
      <c r="E1728" t="s">
        <v>251</v>
      </c>
      <c r="F1728" t="str">
        <f>"52.0304"</f>
        <v>52.0304</v>
      </c>
      <c r="G1728" s="8" t="s">
        <v>3509</v>
      </c>
    </row>
    <row r="1729" spans="1:7" x14ac:dyDescent="0.35">
      <c r="A1729" t="str">
        <f>"52.0305"</f>
        <v>52.0305</v>
      </c>
      <c r="B1729" t="s">
        <v>3510</v>
      </c>
      <c r="C1729" s="8" t="s">
        <v>3511</v>
      </c>
      <c r="D1729" t="s">
        <v>250</v>
      </c>
      <c r="E1729" t="s">
        <v>251</v>
      </c>
      <c r="F1729" t="str">
        <f>"52.0305"</f>
        <v>52.0305</v>
      </c>
      <c r="G1729" s="8" t="s">
        <v>3511</v>
      </c>
    </row>
    <row r="1730" spans="1:7" x14ac:dyDescent="0.35">
      <c r="A1730" t="str">
        <f>"52.0399"</f>
        <v>52.0399</v>
      </c>
      <c r="B1730" t="s">
        <v>3512</v>
      </c>
      <c r="C1730" s="8" t="s">
        <v>3513</v>
      </c>
      <c r="D1730" t="s">
        <v>250</v>
      </c>
      <c r="E1730" t="s">
        <v>251</v>
      </c>
      <c r="F1730" t="str">
        <f>"52.0399"</f>
        <v>52.0399</v>
      </c>
      <c r="G1730" s="8" t="s">
        <v>3513</v>
      </c>
    </row>
    <row r="1731" spans="1:7" ht="29" x14ac:dyDescent="0.35">
      <c r="A1731" t="str">
        <f>"52.0401"</f>
        <v>52.0401</v>
      </c>
      <c r="B1731" t="s">
        <v>3514</v>
      </c>
      <c r="C1731" s="8" t="s">
        <v>3515</v>
      </c>
      <c r="D1731" t="s">
        <v>250</v>
      </c>
      <c r="E1731" t="s">
        <v>251</v>
      </c>
      <c r="F1731" t="str">
        <f>"52.0401"</f>
        <v>52.0401</v>
      </c>
      <c r="G1731" s="8" t="s">
        <v>3515</v>
      </c>
    </row>
    <row r="1732" spans="1:7" x14ac:dyDescent="0.35">
      <c r="A1732" t="str">
        <f>"52.0402"</f>
        <v>52.0402</v>
      </c>
      <c r="B1732" t="s">
        <v>3516</v>
      </c>
      <c r="C1732" s="8" t="s">
        <v>3517</v>
      </c>
      <c r="D1732" t="s">
        <v>250</v>
      </c>
      <c r="E1732" t="s">
        <v>251</v>
      </c>
      <c r="F1732" t="str">
        <f>"52.0402"</f>
        <v>52.0402</v>
      </c>
      <c r="G1732" s="8" t="s">
        <v>3517</v>
      </c>
    </row>
    <row r="1733" spans="1:7" x14ac:dyDescent="0.35">
      <c r="A1733" t="str">
        <f>"52.0406"</f>
        <v>52.0406</v>
      </c>
      <c r="B1733" t="s">
        <v>3518</v>
      </c>
      <c r="C1733" s="8" t="s">
        <v>3519</v>
      </c>
      <c r="D1733" t="s">
        <v>250</v>
      </c>
      <c r="E1733" t="s">
        <v>251</v>
      </c>
      <c r="F1733" t="str">
        <f>"52.0406"</f>
        <v>52.0406</v>
      </c>
      <c r="G1733" s="8" t="s">
        <v>3519</v>
      </c>
    </row>
    <row r="1734" spans="1:7" ht="29" x14ac:dyDescent="0.35">
      <c r="A1734" t="str">
        <f>"52.0407"</f>
        <v>52.0407</v>
      </c>
      <c r="B1734" t="s">
        <v>3520</v>
      </c>
      <c r="C1734" s="8" t="s">
        <v>3521</v>
      </c>
      <c r="D1734" t="s">
        <v>250</v>
      </c>
      <c r="E1734" t="s">
        <v>251</v>
      </c>
      <c r="F1734" t="str">
        <f>"52.0407"</f>
        <v>52.0407</v>
      </c>
      <c r="G1734" s="8" t="s">
        <v>3521</v>
      </c>
    </row>
    <row r="1735" spans="1:7" ht="29" x14ac:dyDescent="0.35">
      <c r="A1735" t="str">
        <f>"52.0408"</f>
        <v>52.0408</v>
      </c>
      <c r="B1735" t="s">
        <v>3522</v>
      </c>
      <c r="C1735" s="8" t="s">
        <v>3523</v>
      </c>
      <c r="D1735" t="s">
        <v>250</v>
      </c>
      <c r="E1735" t="s">
        <v>251</v>
      </c>
      <c r="F1735" t="str">
        <f>"52.0408"</f>
        <v>52.0408</v>
      </c>
      <c r="G1735" s="8" t="s">
        <v>3523</v>
      </c>
    </row>
    <row r="1736" spans="1:7" ht="29" x14ac:dyDescent="0.35">
      <c r="A1736" t="str">
        <f>"52.0409"</f>
        <v>52.0409</v>
      </c>
      <c r="B1736" t="s">
        <v>3524</v>
      </c>
      <c r="C1736" s="8" t="s">
        <v>3525</v>
      </c>
      <c r="D1736" t="s">
        <v>250</v>
      </c>
      <c r="E1736" t="s">
        <v>251</v>
      </c>
      <c r="F1736" t="str">
        <f>"52.0409"</f>
        <v>52.0409</v>
      </c>
      <c r="G1736" s="8" t="s">
        <v>3525</v>
      </c>
    </row>
    <row r="1737" spans="1:7" ht="29" x14ac:dyDescent="0.35">
      <c r="A1737" t="str">
        <f>"52.0410"</f>
        <v>52.0410</v>
      </c>
      <c r="B1737" t="s">
        <v>3526</v>
      </c>
      <c r="C1737" s="8" t="s">
        <v>3527</v>
      </c>
      <c r="D1737" t="s">
        <v>250</v>
      </c>
      <c r="E1737" t="s">
        <v>251</v>
      </c>
      <c r="F1737" t="str">
        <f>"52.0410"</f>
        <v>52.0410</v>
      </c>
      <c r="G1737" s="8" t="s">
        <v>3527</v>
      </c>
    </row>
    <row r="1738" spans="1:7" ht="29" x14ac:dyDescent="0.35">
      <c r="A1738" t="str">
        <f>"52.0411"</f>
        <v>52.0411</v>
      </c>
      <c r="B1738" t="s">
        <v>3528</v>
      </c>
      <c r="C1738" s="8" t="s">
        <v>3529</v>
      </c>
      <c r="D1738" t="s">
        <v>250</v>
      </c>
      <c r="E1738" t="s">
        <v>251</v>
      </c>
      <c r="F1738" t="str">
        <f>"52.0411"</f>
        <v>52.0411</v>
      </c>
      <c r="G1738" s="8" t="s">
        <v>3529</v>
      </c>
    </row>
    <row r="1739" spans="1:7" ht="29" x14ac:dyDescent="0.35">
      <c r="A1739" t="str">
        <f>"52.0499"</f>
        <v>52.0499</v>
      </c>
      <c r="B1739" t="s">
        <v>3530</v>
      </c>
      <c r="C1739" s="8" t="s">
        <v>3531</v>
      </c>
      <c r="D1739" t="s">
        <v>250</v>
      </c>
      <c r="E1739" t="s">
        <v>251</v>
      </c>
      <c r="F1739" t="str">
        <f>"52.0499"</f>
        <v>52.0499</v>
      </c>
      <c r="G1739" s="8" t="s">
        <v>3531</v>
      </c>
    </row>
    <row r="1740" spans="1:7" x14ac:dyDescent="0.35">
      <c r="A1740" t="str">
        <f>"52.0501"</f>
        <v>52.0501</v>
      </c>
      <c r="B1740" t="s">
        <v>3532</v>
      </c>
      <c r="C1740" s="8" t="s">
        <v>3533</v>
      </c>
      <c r="D1740" t="s">
        <v>250</v>
      </c>
      <c r="E1740" t="s">
        <v>264</v>
      </c>
      <c r="F1740" t="str">
        <f>"52.0501"</f>
        <v>52.0501</v>
      </c>
      <c r="G1740" s="8" t="s">
        <v>3534</v>
      </c>
    </row>
    <row r="1741" spans="1:7" x14ac:dyDescent="0.35">
      <c r="D1741" t="s">
        <v>275</v>
      </c>
      <c r="E1741" t="s">
        <v>251</v>
      </c>
      <c r="F1741" t="str">
        <f>"52.0502"</f>
        <v>52.0502</v>
      </c>
      <c r="G1741" s="8" t="s">
        <v>3535</v>
      </c>
    </row>
    <row r="1742" spans="1:7" x14ac:dyDescent="0.35">
      <c r="D1742" t="s">
        <v>275</v>
      </c>
      <c r="E1742" t="s">
        <v>251</v>
      </c>
      <c r="F1742" t="str">
        <f>"52.0599"</f>
        <v>52.0599</v>
      </c>
      <c r="G1742" s="8" t="s">
        <v>3536</v>
      </c>
    </row>
    <row r="1743" spans="1:7" x14ac:dyDescent="0.35">
      <c r="A1743" t="str">
        <f>"52.0601"</f>
        <v>52.0601</v>
      </c>
      <c r="B1743" t="s">
        <v>3537</v>
      </c>
      <c r="C1743" s="8" t="s">
        <v>3538</v>
      </c>
      <c r="D1743" t="s">
        <v>250</v>
      </c>
      <c r="E1743" t="s">
        <v>251</v>
      </c>
      <c r="F1743" t="str">
        <f>"52.0601"</f>
        <v>52.0601</v>
      </c>
      <c r="G1743" s="8" t="s">
        <v>3538</v>
      </c>
    </row>
    <row r="1744" spans="1:7" ht="29" x14ac:dyDescent="0.35">
      <c r="A1744" t="str">
        <f>"52.0701"</f>
        <v>52.0701</v>
      </c>
      <c r="B1744" t="s">
        <v>3539</v>
      </c>
      <c r="C1744" s="8" t="s">
        <v>3540</v>
      </c>
      <c r="D1744" t="s">
        <v>250</v>
      </c>
      <c r="E1744" t="s">
        <v>251</v>
      </c>
      <c r="F1744" t="str">
        <f>"52.0701"</f>
        <v>52.0701</v>
      </c>
      <c r="G1744" s="8" t="s">
        <v>3540</v>
      </c>
    </row>
    <row r="1745" spans="1:7" x14ac:dyDescent="0.35">
      <c r="A1745" t="str">
        <f>"52.0702"</f>
        <v>52.0702</v>
      </c>
      <c r="B1745" t="s">
        <v>3541</v>
      </c>
      <c r="C1745" s="8" t="s">
        <v>3542</v>
      </c>
      <c r="D1745" t="s">
        <v>250</v>
      </c>
      <c r="E1745" t="s">
        <v>251</v>
      </c>
      <c r="F1745" t="str">
        <f>"52.0702"</f>
        <v>52.0702</v>
      </c>
      <c r="G1745" s="8" t="s">
        <v>3542</v>
      </c>
    </row>
    <row r="1746" spans="1:7" ht="29" x14ac:dyDescent="0.35">
      <c r="A1746" t="str">
        <f>"52.0703"</f>
        <v>52.0703</v>
      </c>
      <c r="B1746" t="s">
        <v>3543</v>
      </c>
      <c r="C1746" s="8" t="s">
        <v>3544</v>
      </c>
      <c r="D1746" t="s">
        <v>250</v>
      </c>
      <c r="E1746" t="s">
        <v>251</v>
      </c>
      <c r="F1746" t="str">
        <f>"52.0703"</f>
        <v>52.0703</v>
      </c>
      <c r="G1746" s="8" t="s">
        <v>3544</v>
      </c>
    </row>
    <row r="1747" spans="1:7" x14ac:dyDescent="0.35">
      <c r="D1747" t="s">
        <v>275</v>
      </c>
      <c r="E1747" t="s">
        <v>251</v>
      </c>
      <c r="F1747" t="str">
        <f>"52.0704"</f>
        <v>52.0704</v>
      </c>
      <c r="G1747" s="8" t="s">
        <v>3545</v>
      </c>
    </row>
    <row r="1748" spans="1:7" ht="29" x14ac:dyDescent="0.35">
      <c r="A1748" t="str">
        <f>"52.0799"</f>
        <v>52.0799</v>
      </c>
      <c r="B1748" t="s">
        <v>3546</v>
      </c>
      <c r="C1748" s="8" t="s">
        <v>3547</v>
      </c>
      <c r="D1748" t="s">
        <v>250</v>
      </c>
      <c r="E1748" t="s">
        <v>251</v>
      </c>
      <c r="F1748" t="str">
        <f>"52.0799"</f>
        <v>52.0799</v>
      </c>
      <c r="G1748" s="8" t="s">
        <v>3547</v>
      </c>
    </row>
    <row r="1749" spans="1:7" x14ac:dyDescent="0.35">
      <c r="A1749" t="str">
        <f>"52.0801"</f>
        <v>52.0801</v>
      </c>
      <c r="B1749" t="s">
        <v>3548</v>
      </c>
      <c r="C1749" s="8" t="s">
        <v>3549</v>
      </c>
      <c r="D1749" t="s">
        <v>250</v>
      </c>
      <c r="E1749" t="s">
        <v>251</v>
      </c>
      <c r="F1749" t="str">
        <f>"52.0801"</f>
        <v>52.0801</v>
      </c>
      <c r="G1749" s="8" t="s">
        <v>3549</v>
      </c>
    </row>
    <row r="1750" spans="1:7" x14ac:dyDescent="0.35">
      <c r="A1750" t="str">
        <f>"52.0803"</f>
        <v>52.0803</v>
      </c>
      <c r="B1750" t="s">
        <v>3550</v>
      </c>
      <c r="C1750" s="8" t="s">
        <v>3551</v>
      </c>
      <c r="D1750" t="s">
        <v>250</v>
      </c>
      <c r="E1750" t="s">
        <v>251</v>
      </c>
      <c r="F1750" t="str">
        <f>"52.0803"</f>
        <v>52.0803</v>
      </c>
      <c r="G1750" s="8" t="s">
        <v>3551</v>
      </c>
    </row>
    <row r="1751" spans="1:7" x14ac:dyDescent="0.35">
      <c r="A1751" t="str">
        <f>"52.0804"</f>
        <v>52.0804</v>
      </c>
      <c r="B1751" t="s">
        <v>3552</v>
      </c>
      <c r="C1751" s="8" t="s">
        <v>3553</v>
      </c>
      <c r="D1751" t="s">
        <v>250</v>
      </c>
      <c r="E1751" t="s">
        <v>251</v>
      </c>
      <c r="F1751" t="str">
        <f>"52.0804"</f>
        <v>52.0804</v>
      </c>
      <c r="G1751" s="8" t="s">
        <v>3553</v>
      </c>
    </row>
    <row r="1752" spans="1:7" x14ac:dyDescent="0.35">
      <c r="A1752" t="str">
        <f>"52.0806"</f>
        <v>52.0806</v>
      </c>
      <c r="B1752" t="s">
        <v>3554</v>
      </c>
      <c r="C1752" s="8" t="s">
        <v>3555</v>
      </c>
      <c r="D1752" t="s">
        <v>250</v>
      </c>
      <c r="E1752" t="s">
        <v>251</v>
      </c>
      <c r="F1752" t="str">
        <f>"52.0806"</f>
        <v>52.0806</v>
      </c>
      <c r="G1752" s="8" t="s">
        <v>3555</v>
      </c>
    </row>
    <row r="1753" spans="1:7" x14ac:dyDescent="0.35">
      <c r="A1753" t="str">
        <f>"52.0807"</f>
        <v>52.0807</v>
      </c>
      <c r="B1753" t="s">
        <v>3556</v>
      </c>
      <c r="C1753" s="8" t="s">
        <v>3557</v>
      </c>
      <c r="D1753" t="s">
        <v>250</v>
      </c>
      <c r="E1753" t="s">
        <v>251</v>
      </c>
      <c r="F1753" t="str">
        <f>"52.0807"</f>
        <v>52.0807</v>
      </c>
      <c r="G1753" s="8" t="s">
        <v>3557</v>
      </c>
    </row>
    <row r="1754" spans="1:7" x14ac:dyDescent="0.35">
      <c r="A1754" t="str">
        <f>"52.0808"</f>
        <v>52.0808</v>
      </c>
      <c r="B1754" t="s">
        <v>3558</v>
      </c>
      <c r="C1754" s="8" t="s">
        <v>3559</v>
      </c>
      <c r="D1754" t="s">
        <v>250</v>
      </c>
      <c r="E1754" t="s">
        <v>251</v>
      </c>
      <c r="F1754" t="str">
        <f>"52.0808"</f>
        <v>52.0808</v>
      </c>
      <c r="G1754" s="8" t="s">
        <v>3559</v>
      </c>
    </row>
    <row r="1755" spans="1:7" x14ac:dyDescent="0.35">
      <c r="A1755" t="str">
        <f>"52.0809"</f>
        <v>52.0809</v>
      </c>
      <c r="B1755" t="s">
        <v>3560</v>
      </c>
      <c r="C1755" s="8" t="s">
        <v>3561</v>
      </c>
      <c r="D1755" t="s">
        <v>250</v>
      </c>
      <c r="E1755" t="s">
        <v>251</v>
      </c>
      <c r="F1755" t="str">
        <f>"52.0809"</f>
        <v>52.0809</v>
      </c>
      <c r="G1755" s="8" t="s">
        <v>3561</v>
      </c>
    </row>
    <row r="1756" spans="1:7" x14ac:dyDescent="0.35">
      <c r="D1756" t="s">
        <v>275</v>
      </c>
      <c r="E1756" t="s">
        <v>251</v>
      </c>
      <c r="F1756" t="str">
        <f>"52.0810"</f>
        <v>52.0810</v>
      </c>
      <c r="G1756" s="8" t="s">
        <v>3562</v>
      </c>
    </row>
    <row r="1757" spans="1:7" ht="29" x14ac:dyDescent="0.35">
      <c r="A1757" t="str">
        <f>"52.0899"</f>
        <v>52.0899</v>
      </c>
      <c r="B1757" t="s">
        <v>3563</v>
      </c>
      <c r="C1757" s="8" t="s">
        <v>3564</v>
      </c>
      <c r="D1757" t="s">
        <v>250</v>
      </c>
      <c r="E1757" t="s">
        <v>251</v>
      </c>
      <c r="F1757" t="str">
        <f>"52.0899"</f>
        <v>52.0899</v>
      </c>
      <c r="G1757" s="8" t="s">
        <v>3564</v>
      </c>
    </row>
    <row r="1758" spans="1:7" ht="29" x14ac:dyDescent="0.35">
      <c r="A1758" t="str">
        <f>"52.0901"</f>
        <v>52.0901</v>
      </c>
      <c r="B1758" t="s">
        <v>3565</v>
      </c>
      <c r="C1758" s="8" t="s">
        <v>3566</v>
      </c>
      <c r="D1758" t="s">
        <v>250</v>
      </c>
      <c r="E1758" t="s">
        <v>251</v>
      </c>
      <c r="F1758" t="str">
        <f>"52.0901"</f>
        <v>52.0901</v>
      </c>
      <c r="G1758" s="8" t="s">
        <v>3566</v>
      </c>
    </row>
    <row r="1759" spans="1:7" x14ac:dyDescent="0.35">
      <c r="A1759" t="str">
        <f>"52.0903"</f>
        <v>52.0903</v>
      </c>
      <c r="B1759" t="s">
        <v>3567</v>
      </c>
      <c r="C1759" s="8" t="s">
        <v>3568</v>
      </c>
      <c r="D1759" t="s">
        <v>250</v>
      </c>
      <c r="E1759" t="s">
        <v>251</v>
      </c>
      <c r="F1759" t="str">
        <f>"52.0903"</f>
        <v>52.0903</v>
      </c>
      <c r="G1759" s="8" t="s">
        <v>3568</v>
      </c>
    </row>
    <row r="1760" spans="1:7" x14ac:dyDescent="0.35">
      <c r="A1760" t="str">
        <f>"52.0904"</f>
        <v>52.0904</v>
      </c>
      <c r="B1760" t="s">
        <v>3569</v>
      </c>
      <c r="C1760" s="8" t="s">
        <v>3570</v>
      </c>
      <c r="D1760" t="s">
        <v>250</v>
      </c>
      <c r="E1760" t="s">
        <v>251</v>
      </c>
      <c r="F1760" t="str">
        <f>"52.0904"</f>
        <v>52.0904</v>
      </c>
      <c r="G1760" s="8" t="s">
        <v>3570</v>
      </c>
    </row>
    <row r="1761" spans="1:7" x14ac:dyDescent="0.35">
      <c r="A1761" t="str">
        <f>"52.0905"</f>
        <v>52.0905</v>
      </c>
      <c r="B1761" t="s">
        <v>3571</v>
      </c>
      <c r="C1761" s="8" t="s">
        <v>3572</v>
      </c>
      <c r="D1761" t="s">
        <v>250</v>
      </c>
      <c r="E1761" t="s">
        <v>251</v>
      </c>
      <c r="F1761" t="str">
        <f>"52.0905"</f>
        <v>52.0905</v>
      </c>
      <c r="G1761" s="8" t="s">
        <v>3572</v>
      </c>
    </row>
    <row r="1762" spans="1:7" x14ac:dyDescent="0.35">
      <c r="A1762" t="str">
        <f>"52.0906"</f>
        <v>52.0906</v>
      </c>
      <c r="B1762" t="s">
        <v>3573</v>
      </c>
      <c r="C1762" s="8" t="s">
        <v>3574</v>
      </c>
      <c r="D1762" t="s">
        <v>250</v>
      </c>
      <c r="E1762" t="s">
        <v>251</v>
      </c>
      <c r="F1762" t="str">
        <f>"52.0906"</f>
        <v>52.0906</v>
      </c>
      <c r="G1762" s="8" t="s">
        <v>3574</v>
      </c>
    </row>
    <row r="1763" spans="1:7" x14ac:dyDescent="0.35">
      <c r="A1763" t="str">
        <f>"52.0907"</f>
        <v>52.0907</v>
      </c>
      <c r="B1763" t="s">
        <v>3575</v>
      </c>
      <c r="C1763" s="8" t="s">
        <v>3576</v>
      </c>
      <c r="D1763" t="s">
        <v>250</v>
      </c>
      <c r="E1763" t="s">
        <v>251</v>
      </c>
      <c r="F1763" t="str">
        <f>"52.0907"</f>
        <v>52.0907</v>
      </c>
      <c r="G1763" s="8" t="s">
        <v>3576</v>
      </c>
    </row>
    <row r="1764" spans="1:7" x14ac:dyDescent="0.35">
      <c r="A1764" t="str">
        <f>"52.0908"</f>
        <v>52.0908</v>
      </c>
      <c r="B1764" t="s">
        <v>3577</v>
      </c>
      <c r="C1764" s="8" t="s">
        <v>3578</v>
      </c>
      <c r="D1764" t="s">
        <v>250</v>
      </c>
      <c r="E1764" t="s">
        <v>264</v>
      </c>
      <c r="F1764" t="str">
        <f>"52.0908"</f>
        <v>52.0908</v>
      </c>
      <c r="G1764" s="8" t="s">
        <v>3578</v>
      </c>
    </row>
    <row r="1765" spans="1:7" ht="29" x14ac:dyDescent="0.35">
      <c r="A1765" t="str">
        <f>"52.0909"</f>
        <v>52.0909</v>
      </c>
      <c r="B1765" t="s">
        <v>3579</v>
      </c>
      <c r="C1765" s="8" t="s">
        <v>3580</v>
      </c>
      <c r="D1765" t="s">
        <v>250</v>
      </c>
      <c r="E1765" t="s">
        <v>251</v>
      </c>
      <c r="F1765" t="str">
        <f>"52.0909"</f>
        <v>52.0909</v>
      </c>
      <c r="G1765" s="8" t="s">
        <v>3580</v>
      </c>
    </row>
    <row r="1766" spans="1:7" x14ac:dyDescent="0.35">
      <c r="D1766" t="s">
        <v>275</v>
      </c>
      <c r="E1766" t="s">
        <v>251</v>
      </c>
      <c r="F1766" t="str">
        <f>"52.0910"</f>
        <v>52.0910</v>
      </c>
      <c r="G1766" s="8" t="s">
        <v>3581</v>
      </c>
    </row>
    <row r="1767" spans="1:7" ht="29" x14ac:dyDescent="0.35">
      <c r="A1767" t="str">
        <f>"52.0999"</f>
        <v>52.0999</v>
      </c>
      <c r="B1767" t="s">
        <v>3582</v>
      </c>
      <c r="C1767" s="8" t="s">
        <v>3583</v>
      </c>
      <c r="D1767" t="s">
        <v>250</v>
      </c>
      <c r="E1767" t="s">
        <v>251</v>
      </c>
      <c r="F1767" t="str">
        <f>"52.0999"</f>
        <v>52.0999</v>
      </c>
      <c r="G1767" s="8" t="s">
        <v>3583</v>
      </c>
    </row>
    <row r="1768" spans="1:7" ht="43.5" x14ac:dyDescent="0.35">
      <c r="A1768" t="str">
        <f>"52.1001"</f>
        <v>52.1001</v>
      </c>
      <c r="B1768" t="s">
        <v>3584</v>
      </c>
      <c r="C1768" s="8" t="s">
        <v>3585</v>
      </c>
      <c r="D1768" t="s">
        <v>250</v>
      </c>
      <c r="E1768" t="s">
        <v>251</v>
      </c>
      <c r="F1768" t="str">
        <f>"52.1001"</f>
        <v>52.1001</v>
      </c>
      <c r="G1768" s="8" t="s">
        <v>3585</v>
      </c>
    </row>
    <row r="1769" spans="1:7" x14ac:dyDescent="0.35">
      <c r="A1769" t="str">
        <f>"52.1002"</f>
        <v>52.1002</v>
      </c>
      <c r="B1769" t="s">
        <v>3586</v>
      </c>
      <c r="C1769" s="8" t="s">
        <v>3587</v>
      </c>
      <c r="D1769" t="s">
        <v>250</v>
      </c>
      <c r="E1769" t="s">
        <v>251</v>
      </c>
      <c r="F1769" t="str">
        <f>"52.1002"</f>
        <v>52.1002</v>
      </c>
      <c r="G1769" s="8" t="s">
        <v>3587</v>
      </c>
    </row>
    <row r="1770" spans="1:7" x14ac:dyDescent="0.35">
      <c r="A1770" t="str">
        <f>"52.1003"</f>
        <v>52.1003</v>
      </c>
      <c r="B1770" t="s">
        <v>3588</v>
      </c>
      <c r="C1770" s="8" t="s">
        <v>3589</v>
      </c>
      <c r="D1770" t="s">
        <v>250</v>
      </c>
      <c r="E1770" t="s">
        <v>251</v>
      </c>
      <c r="F1770" t="str">
        <f>"52.1003"</f>
        <v>52.1003</v>
      </c>
      <c r="G1770" s="8" t="s">
        <v>3589</v>
      </c>
    </row>
    <row r="1771" spans="1:7" x14ac:dyDescent="0.35">
      <c r="A1771" t="str">
        <f>"52.1004"</f>
        <v>52.1004</v>
      </c>
      <c r="B1771" t="s">
        <v>3590</v>
      </c>
      <c r="C1771" s="8" t="s">
        <v>3591</v>
      </c>
      <c r="D1771" t="s">
        <v>250</v>
      </c>
      <c r="E1771" t="s">
        <v>251</v>
      </c>
      <c r="F1771" t="str">
        <f>"52.1004"</f>
        <v>52.1004</v>
      </c>
      <c r="G1771" s="8" t="s">
        <v>3591</v>
      </c>
    </row>
    <row r="1772" spans="1:7" x14ac:dyDescent="0.35">
      <c r="A1772" t="str">
        <f>"52.1005"</f>
        <v>52.1005</v>
      </c>
      <c r="B1772" t="s">
        <v>3592</v>
      </c>
      <c r="C1772" s="8" t="s">
        <v>3593</v>
      </c>
      <c r="D1772" t="s">
        <v>250</v>
      </c>
      <c r="E1772" t="s">
        <v>251</v>
      </c>
      <c r="F1772" t="str">
        <f>"52.1005"</f>
        <v>52.1005</v>
      </c>
      <c r="G1772" s="8" t="s">
        <v>3593</v>
      </c>
    </row>
    <row r="1773" spans="1:7" x14ac:dyDescent="0.35">
      <c r="D1773" t="s">
        <v>275</v>
      </c>
      <c r="E1773" t="s">
        <v>251</v>
      </c>
      <c r="F1773" t="str">
        <f>"52.1006"</f>
        <v>52.1006</v>
      </c>
      <c r="G1773" s="8" t="s">
        <v>3594</v>
      </c>
    </row>
    <row r="1774" spans="1:7" ht="29" x14ac:dyDescent="0.35">
      <c r="A1774" t="str">
        <f>"52.1099"</f>
        <v>52.1099</v>
      </c>
      <c r="B1774" t="s">
        <v>3595</v>
      </c>
      <c r="C1774" s="8" t="s">
        <v>3596</v>
      </c>
      <c r="D1774" t="s">
        <v>250</v>
      </c>
      <c r="E1774" t="s">
        <v>251</v>
      </c>
      <c r="F1774" t="str">
        <f>"52.1099"</f>
        <v>52.1099</v>
      </c>
      <c r="G1774" s="8" t="s">
        <v>3596</v>
      </c>
    </row>
    <row r="1775" spans="1:7" x14ac:dyDescent="0.35">
      <c r="A1775" t="str">
        <f>"52.1101"</f>
        <v>52.1101</v>
      </c>
      <c r="B1775" t="s">
        <v>3597</v>
      </c>
      <c r="C1775" s="8" t="s">
        <v>3598</v>
      </c>
      <c r="D1775" t="s">
        <v>250</v>
      </c>
      <c r="E1775" t="s">
        <v>251</v>
      </c>
      <c r="F1775" t="str">
        <f>"52.1101"</f>
        <v>52.1101</v>
      </c>
      <c r="G1775" s="8" t="s">
        <v>3598</v>
      </c>
    </row>
    <row r="1776" spans="1:7" ht="29" x14ac:dyDescent="0.35">
      <c r="A1776" t="str">
        <f>"52.1201"</f>
        <v>52.1201</v>
      </c>
      <c r="B1776" t="s">
        <v>3599</v>
      </c>
      <c r="C1776" s="8" t="s">
        <v>3600</v>
      </c>
      <c r="D1776" t="s">
        <v>250</v>
      </c>
      <c r="E1776" t="s">
        <v>251</v>
      </c>
      <c r="F1776" t="str">
        <f>"52.1201"</f>
        <v>52.1201</v>
      </c>
      <c r="G1776" s="8" t="s">
        <v>3600</v>
      </c>
    </row>
    <row r="1777" spans="1:7" x14ac:dyDescent="0.35">
      <c r="A1777" t="str">
        <f>"52.1206"</f>
        <v>52.1206</v>
      </c>
      <c r="B1777" t="s">
        <v>3601</v>
      </c>
      <c r="C1777" s="8" t="s">
        <v>3602</v>
      </c>
      <c r="D1777" t="s">
        <v>250</v>
      </c>
      <c r="E1777" t="s">
        <v>251</v>
      </c>
      <c r="F1777" t="str">
        <f>"52.1206"</f>
        <v>52.1206</v>
      </c>
      <c r="G1777" s="8" t="s">
        <v>3602</v>
      </c>
    </row>
    <row r="1778" spans="1:7" x14ac:dyDescent="0.35">
      <c r="A1778" t="str">
        <f>"52.1207"</f>
        <v>52.1207</v>
      </c>
      <c r="B1778" t="s">
        <v>3603</v>
      </c>
      <c r="C1778" s="8" t="s">
        <v>3604</v>
      </c>
      <c r="D1778" t="s">
        <v>250</v>
      </c>
      <c r="E1778" t="s">
        <v>251</v>
      </c>
      <c r="F1778" t="str">
        <f>"52.1207"</f>
        <v>52.1207</v>
      </c>
      <c r="G1778" s="8" t="s">
        <v>3604</v>
      </c>
    </row>
    <row r="1779" spans="1:7" ht="29" x14ac:dyDescent="0.35">
      <c r="A1779" t="str">
        <f>"52.1299"</f>
        <v>52.1299</v>
      </c>
      <c r="B1779" t="s">
        <v>3605</v>
      </c>
      <c r="C1779" s="8" t="s">
        <v>3606</v>
      </c>
      <c r="D1779" t="s">
        <v>250</v>
      </c>
      <c r="E1779" t="s">
        <v>251</v>
      </c>
      <c r="F1779" t="str">
        <f>"52.1299"</f>
        <v>52.1299</v>
      </c>
      <c r="G1779" s="8" t="s">
        <v>3606</v>
      </c>
    </row>
    <row r="1780" spans="1:7" x14ac:dyDescent="0.35">
      <c r="A1780" t="str">
        <f>"52.1301"</f>
        <v>52.1301</v>
      </c>
      <c r="B1780" t="s">
        <v>3607</v>
      </c>
      <c r="C1780" s="8" t="s">
        <v>3608</v>
      </c>
      <c r="D1780" t="s">
        <v>250</v>
      </c>
      <c r="E1780" t="s">
        <v>251</v>
      </c>
      <c r="F1780" t="str">
        <f>"52.1301"</f>
        <v>52.1301</v>
      </c>
      <c r="G1780" s="8" t="s">
        <v>3608</v>
      </c>
    </row>
    <row r="1781" spans="1:7" x14ac:dyDescent="0.35">
      <c r="A1781" t="str">
        <f>"52.1302"</f>
        <v>52.1302</v>
      </c>
      <c r="B1781" t="s">
        <v>3609</v>
      </c>
      <c r="C1781" s="8" t="s">
        <v>3610</v>
      </c>
      <c r="D1781" t="s">
        <v>250</v>
      </c>
      <c r="E1781" t="s">
        <v>251</v>
      </c>
      <c r="F1781" t="str">
        <f>"52.1302"</f>
        <v>52.1302</v>
      </c>
      <c r="G1781" s="8" t="s">
        <v>3610</v>
      </c>
    </row>
    <row r="1782" spans="1:7" x14ac:dyDescent="0.35">
      <c r="A1782" t="str">
        <f>"52.1304"</f>
        <v>52.1304</v>
      </c>
      <c r="B1782" t="s">
        <v>3611</v>
      </c>
      <c r="C1782" s="8" t="s">
        <v>3612</v>
      </c>
      <c r="D1782" t="s">
        <v>250</v>
      </c>
      <c r="E1782" t="s">
        <v>251</v>
      </c>
      <c r="F1782" t="str">
        <f>"52.1304"</f>
        <v>52.1304</v>
      </c>
      <c r="G1782" s="8" t="s">
        <v>3612</v>
      </c>
    </row>
    <row r="1783" spans="1:7" ht="29" x14ac:dyDescent="0.35">
      <c r="A1783" t="str">
        <f>"52.1399"</f>
        <v>52.1399</v>
      </c>
      <c r="B1783" t="s">
        <v>3613</v>
      </c>
      <c r="C1783" s="8" t="s">
        <v>3614</v>
      </c>
      <c r="D1783" t="s">
        <v>250</v>
      </c>
      <c r="E1783" t="s">
        <v>251</v>
      </c>
      <c r="F1783" t="str">
        <f>"52.1399"</f>
        <v>52.1399</v>
      </c>
      <c r="G1783" s="8" t="s">
        <v>3614</v>
      </c>
    </row>
    <row r="1784" spans="1:7" ht="29" x14ac:dyDescent="0.35">
      <c r="A1784" t="str">
        <f>"52.1401"</f>
        <v>52.1401</v>
      </c>
      <c r="B1784" t="s">
        <v>3615</v>
      </c>
      <c r="C1784" s="8" t="s">
        <v>3616</v>
      </c>
      <c r="D1784" t="s">
        <v>250</v>
      </c>
      <c r="E1784" t="s">
        <v>251</v>
      </c>
      <c r="F1784" t="str">
        <f>"52.1401"</f>
        <v>52.1401</v>
      </c>
      <c r="G1784" s="8" t="s">
        <v>3616</v>
      </c>
    </row>
    <row r="1785" spans="1:7" x14ac:dyDescent="0.35">
      <c r="A1785" t="str">
        <f>"52.1402"</f>
        <v>52.1402</v>
      </c>
      <c r="B1785" t="s">
        <v>3617</v>
      </c>
      <c r="C1785" s="8" t="s">
        <v>3618</v>
      </c>
      <c r="D1785" t="s">
        <v>250</v>
      </c>
      <c r="E1785" t="s">
        <v>251</v>
      </c>
      <c r="F1785" t="str">
        <f>"52.1402"</f>
        <v>52.1402</v>
      </c>
      <c r="G1785" s="8" t="s">
        <v>3618</v>
      </c>
    </row>
    <row r="1786" spans="1:7" x14ac:dyDescent="0.35">
      <c r="A1786" t="str">
        <f>"52.1403"</f>
        <v>52.1403</v>
      </c>
      <c r="B1786" t="s">
        <v>3619</v>
      </c>
      <c r="C1786" s="8" t="s">
        <v>3620</v>
      </c>
      <c r="D1786" t="s">
        <v>250</v>
      </c>
      <c r="E1786" t="s">
        <v>251</v>
      </c>
      <c r="F1786" t="str">
        <f>"52.1403"</f>
        <v>52.1403</v>
      </c>
      <c r="G1786" s="8" t="s">
        <v>3620</v>
      </c>
    </row>
    <row r="1787" spans="1:7" x14ac:dyDescent="0.35">
      <c r="D1787" t="s">
        <v>275</v>
      </c>
      <c r="E1787" t="s">
        <v>251</v>
      </c>
      <c r="F1787" t="str">
        <f>"52.1404"</f>
        <v>52.1404</v>
      </c>
      <c r="G1787" s="8" t="s">
        <v>3621</v>
      </c>
    </row>
    <row r="1788" spans="1:7" x14ac:dyDescent="0.35">
      <c r="A1788" t="str">
        <f>"52.1499"</f>
        <v>52.1499</v>
      </c>
      <c r="B1788" t="s">
        <v>3622</v>
      </c>
      <c r="C1788" s="8" t="s">
        <v>3623</v>
      </c>
      <c r="D1788" t="s">
        <v>250</v>
      </c>
      <c r="E1788" t="s">
        <v>251</v>
      </c>
      <c r="F1788" t="str">
        <f>"52.1499"</f>
        <v>52.1499</v>
      </c>
      <c r="G1788" s="8" t="s">
        <v>3623</v>
      </c>
    </row>
    <row r="1789" spans="1:7" x14ac:dyDescent="0.35">
      <c r="A1789" t="str">
        <f>"52.1501"</f>
        <v>52.1501</v>
      </c>
      <c r="B1789" t="s">
        <v>3624</v>
      </c>
      <c r="C1789" s="8" t="s">
        <v>3625</v>
      </c>
      <c r="D1789" t="s">
        <v>250</v>
      </c>
      <c r="E1789" t="s">
        <v>251</v>
      </c>
      <c r="F1789" t="str">
        <f>"52.1501"</f>
        <v>52.1501</v>
      </c>
      <c r="G1789" s="8" t="s">
        <v>3625</v>
      </c>
    </row>
    <row r="1790" spans="1:7" x14ac:dyDescent="0.35">
      <c r="A1790" t="str">
        <f>"52.1601"</f>
        <v>52.1601</v>
      </c>
      <c r="B1790" t="s">
        <v>3626</v>
      </c>
      <c r="C1790" s="8" t="s">
        <v>3627</v>
      </c>
      <c r="D1790" t="s">
        <v>250</v>
      </c>
      <c r="E1790" t="s">
        <v>251</v>
      </c>
      <c r="F1790" t="str">
        <f>"52.1601"</f>
        <v>52.1601</v>
      </c>
      <c r="G1790" s="8" t="s">
        <v>3627</v>
      </c>
    </row>
    <row r="1791" spans="1:7" x14ac:dyDescent="0.35">
      <c r="A1791" t="str">
        <f>"52.1701"</f>
        <v>52.1701</v>
      </c>
      <c r="B1791" t="s">
        <v>3628</v>
      </c>
      <c r="C1791" s="8" t="s">
        <v>3629</v>
      </c>
      <c r="D1791" t="s">
        <v>250</v>
      </c>
      <c r="E1791" t="s">
        <v>251</v>
      </c>
      <c r="F1791" t="str">
        <f>"52.1701"</f>
        <v>52.1701</v>
      </c>
      <c r="G1791" s="8" t="s">
        <v>3629</v>
      </c>
    </row>
    <row r="1792" spans="1:7" ht="29" x14ac:dyDescent="0.35">
      <c r="A1792" t="str">
        <f>"52.1801"</f>
        <v>52.1801</v>
      </c>
      <c r="B1792" t="s">
        <v>3630</v>
      </c>
      <c r="C1792" s="8" t="s">
        <v>3631</v>
      </c>
      <c r="D1792" t="s">
        <v>250</v>
      </c>
      <c r="E1792" t="s">
        <v>251</v>
      </c>
      <c r="F1792" t="str">
        <f>"52.1801"</f>
        <v>52.1801</v>
      </c>
      <c r="G1792" s="8" t="s">
        <v>3631</v>
      </c>
    </row>
    <row r="1793" spans="1:7" x14ac:dyDescent="0.35">
      <c r="A1793" t="str">
        <f>"52.1802"</f>
        <v>52.1802</v>
      </c>
      <c r="B1793" t="s">
        <v>3632</v>
      </c>
      <c r="C1793" s="8" t="s">
        <v>3633</v>
      </c>
      <c r="D1793" t="s">
        <v>250</v>
      </c>
      <c r="E1793" t="s">
        <v>251</v>
      </c>
      <c r="F1793" t="str">
        <f>"52.1802"</f>
        <v>52.1802</v>
      </c>
      <c r="G1793" s="8" t="s">
        <v>3633</v>
      </c>
    </row>
    <row r="1794" spans="1:7" x14ac:dyDescent="0.35">
      <c r="A1794" t="str">
        <f>"52.1803"</f>
        <v>52.1803</v>
      </c>
      <c r="B1794" t="s">
        <v>3634</v>
      </c>
      <c r="C1794" s="8" t="s">
        <v>3635</v>
      </c>
      <c r="D1794" t="s">
        <v>250</v>
      </c>
      <c r="E1794" t="s">
        <v>251</v>
      </c>
      <c r="F1794" t="str">
        <f>"52.1803"</f>
        <v>52.1803</v>
      </c>
      <c r="G1794" s="8" t="s">
        <v>3635</v>
      </c>
    </row>
    <row r="1795" spans="1:7" x14ac:dyDescent="0.35">
      <c r="A1795" t="str">
        <f>"52.1804"</f>
        <v>52.1804</v>
      </c>
      <c r="B1795" t="s">
        <v>3636</v>
      </c>
      <c r="C1795" s="8" t="s">
        <v>3637</v>
      </c>
      <c r="D1795" t="s">
        <v>250</v>
      </c>
      <c r="E1795" t="s">
        <v>251</v>
      </c>
      <c r="F1795" t="str">
        <f>"52.1804"</f>
        <v>52.1804</v>
      </c>
      <c r="G1795" s="8" t="s">
        <v>3637</v>
      </c>
    </row>
    <row r="1796" spans="1:7" x14ac:dyDescent="0.35">
      <c r="D1796" t="s">
        <v>275</v>
      </c>
      <c r="E1796" t="s">
        <v>251</v>
      </c>
      <c r="F1796" t="str">
        <f>"52.1880"</f>
        <v>52.1880</v>
      </c>
      <c r="G1796" s="8" t="s">
        <v>301</v>
      </c>
    </row>
    <row r="1797" spans="1:7" ht="29" x14ac:dyDescent="0.35">
      <c r="A1797" t="str">
        <f>"52.1899"</f>
        <v>52.1899</v>
      </c>
      <c r="B1797" t="s">
        <v>3638</v>
      </c>
      <c r="C1797" s="8" t="s">
        <v>3639</v>
      </c>
      <c r="D1797" t="s">
        <v>250</v>
      </c>
      <c r="E1797" t="s">
        <v>251</v>
      </c>
      <c r="F1797" t="str">
        <f>"52.1899"</f>
        <v>52.1899</v>
      </c>
      <c r="G1797" s="8" t="s">
        <v>3639</v>
      </c>
    </row>
    <row r="1798" spans="1:7" x14ac:dyDescent="0.35">
      <c r="A1798" t="str">
        <f>"52.1901"</f>
        <v>52.1901</v>
      </c>
      <c r="B1798" t="s">
        <v>3640</v>
      </c>
      <c r="C1798" s="8" t="s">
        <v>3641</v>
      </c>
      <c r="D1798" t="s">
        <v>250</v>
      </c>
      <c r="E1798" t="s">
        <v>251</v>
      </c>
      <c r="F1798" t="str">
        <f>"52.1901"</f>
        <v>52.1901</v>
      </c>
      <c r="G1798" s="8" t="s">
        <v>3641</v>
      </c>
    </row>
    <row r="1799" spans="1:7" x14ac:dyDescent="0.35">
      <c r="A1799" t="str">
        <f>"52.1902"</f>
        <v>52.1902</v>
      </c>
      <c r="B1799" t="s">
        <v>3642</v>
      </c>
      <c r="C1799" s="8" t="s">
        <v>3643</v>
      </c>
      <c r="D1799" t="s">
        <v>250</v>
      </c>
      <c r="E1799" t="s">
        <v>251</v>
      </c>
      <c r="F1799" t="str">
        <f>"52.1902"</f>
        <v>52.1902</v>
      </c>
      <c r="G1799" s="8" t="s">
        <v>3643</v>
      </c>
    </row>
    <row r="1800" spans="1:7" x14ac:dyDescent="0.35">
      <c r="A1800" t="str">
        <f>"52.1903"</f>
        <v>52.1903</v>
      </c>
      <c r="B1800" t="s">
        <v>3644</v>
      </c>
      <c r="C1800" s="8" t="s">
        <v>3645</v>
      </c>
      <c r="D1800" t="s">
        <v>250</v>
      </c>
      <c r="E1800" t="s">
        <v>251</v>
      </c>
      <c r="F1800" t="str">
        <f>"52.1903"</f>
        <v>52.1903</v>
      </c>
      <c r="G1800" s="8" t="s">
        <v>3645</v>
      </c>
    </row>
    <row r="1801" spans="1:7" ht="29" x14ac:dyDescent="0.35">
      <c r="A1801" t="str">
        <f>"52.1904"</f>
        <v>52.1904</v>
      </c>
      <c r="B1801" t="s">
        <v>3646</v>
      </c>
      <c r="C1801" s="8" t="s">
        <v>3647</v>
      </c>
      <c r="D1801" t="s">
        <v>250</v>
      </c>
      <c r="E1801" t="s">
        <v>251</v>
      </c>
      <c r="F1801" t="str">
        <f>"52.1904"</f>
        <v>52.1904</v>
      </c>
      <c r="G1801" s="8" t="s">
        <v>3647</v>
      </c>
    </row>
    <row r="1802" spans="1:7" ht="29" x14ac:dyDescent="0.35">
      <c r="A1802" t="str">
        <f>"52.1905"</f>
        <v>52.1905</v>
      </c>
      <c r="B1802" t="s">
        <v>3648</v>
      </c>
      <c r="C1802" s="8" t="s">
        <v>3649</v>
      </c>
      <c r="D1802" t="s">
        <v>250</v>
      </c>
      <c r="E1802" t="s">
        <v>251</v>
      </c>
      <c r="F1802" t="str">
        <f>"52.1905"</f>
        <v>52.1905</v>
      </c>
      <c r="G1802" s="8" t="s">
        <v>3649</v>
      </c>
    </row>
    <row r="1803" spans="1:7" x14ac:dyDescent="0.35">
      <c r="A1803" t="str">
        <f>"52.1906"</f>
        <v>52.1906</v>
      </c>
      <c r="B1803" t="s">
        <v>3650</v>
      </c>
      <c r="C1803" s="8" t="s">
        <v>3651</v>
      </c>
      <c r="D1803" t="s">
        <v>250</v>
      </c>
      <c r="E1803" t="s">
        <v>251</v>
      </c>
      <c r="F1803" t="str">
        <f>"52.1906"</f>
        <v>52.1906</v>
      </c>
      <c r="G1803" s="8" t="s">
        <v>3651</v>
      </c>
    </row>
    <row r="1804" spans="1:7" ht="29" x14ac:dyDescent="0.35">
      <c r="A1804" t="str">
        <f>"52.1907"</f>
        <v>52.1907</v>
      </c>
      <c r="B1804" t="s">
        <v>3652</v>
      </c>
      <c r="C1804" s="8" t="s">
        <v>3653</v>
      </c>
      <c r="D1804" t="s">
        <v>250</v>
      </c>
      <c r="E1804" t="s">
        <v>251</v>
      </c>
      <c r="F1804" t="str">
        <f>"52.1907"</f>
        <v>52.1907</v>
      </c>
      <c r="G1804" s="8" t="s">
        <v>3653</v>
      </c>
    </row>
    <row r="1805" spans="1:7" ht="29" x14ac:dyDescent="0.35">
      <c r="A1805" t="str">
        <f>"52.1908"</f>
        <v>52.1908</v>
      </c>
      <c r="B1805" t="s">
        <v>3654</v>
      </c>
      <c r="C1805" s="8" t="s">
        <v>3655</v>
      </c>
      <c r="D1805" t="s">
        <v>250</v>
      </c>
      <c r="E1805" t="s">
        <v>251</v>
      </c>
      <c r="F1805" t="str">
        <f>"52.1908"</f>
        <v>52.1908</v>
      </c>
      <c r="G1805" s="8" t="s">
        <v>3655</v>
      </c>
    </row>
    <row r="1806" spans="1:7" x14ac:dyDescent="0.35">
      <c r="A1806" t="str">
        <f>"52.1909"</f>
        <v>52.1909</v>
      </c>
      <c r="B1806" t="s">
        <v>3656</v>
      </c>
      <c r="C1806" s="8" t="s">
        <v>3657</v>
      </c>
      <c r="D1806" t="s">
        <v>250</v>
      </c>
      <c r="E1806" t="s">
        <v>251</v>
      </c>
      <c r="F1806" t="str">
        <f>"52.1909"</f>
        <v>52.1909</v>
      </c>
      <c r="G1806" s="8" t="s">
        <v>3657</v>
      </c>
    </row>
    <row r="1807" spans="1:7" ht="29" x14ac:dyDescent="0.35">
      <c r="A1807" t="str">
        <f>"52.1910"</f>
        <v>52.1910</v>
      </c>
      <c r="B1807" t="s">
        <v>3658</v>
      </c>
      <c r="C1807" s="8" t="s">
        <v>3659</v>
      </c>
      <c r="D1807" t="s">
        <v>250</v>
      </c>
      <c r="E1807" t="s">
        <v>251</v>
      </c>
      <c r="F1807" t="str">
        <f>"52.1910"</f>
        <v>52.1910</v>
      </c>
      <c r="G1807" s="8" t="s">
        <v>3659</v>
      </c>
    </row>
    <row r="1808" spans="1:7" x14ac:dyDescent="0.35">
      <c r="D1808" t="s">
        <v>275</v>
      </c>
      <c r="E1808" t="s">
        <v>251</v>
      </c>
      <c r="F1808" t="str">
        <f>"52.1980"</f>
        <v>52.1980</v>
      </c>
      <c r="G1808" s="8" t="s">
        <v>301</v>
      </c>
    </row>
    <row r="1809" spans="1:7" ht="29" x14ac:dyDescent="0.35">
      <c r="A1809" t="str">
        <f>"52.1999"</f>
        <v>52.1999</v>
      </c>
      <c r="B1809" t="s">
        <v>3660</v>
      </c>
      <c r="C1809" s="8" t="s">
        <v>3661</v>
      </c>
      <c r="D1809" t="s">
        <v>250</v>
      </c>
      <c r="E1809" t="s">
        <v>251</v>
      </c>
      <c r="F1809" t="str">
        <f>"52.1999"</f>
        <v>52.1999</v>
      </c>
      <c r="G1809" s="8" t="s">
        <v>3661</v>
      </c>
    </row>
    <row r="1810" spans="1:7" x14ac:dyDescent="0.35">
      <c r="A1810" t="str">
        <f>"52.2001"</f>
        <v>52.2001</v>
      </c>
      <c r="B1810" t="s">
        <v>3662</v>
      </c>
      <c r="C1810" s="8" t="s">
        <v>3663</v>
      </c>
      <c r="D1810" t="s">
        <v>250</v>
      </c>
      <c r="E1810" t="s">
        <v>264</v>
      </c>
      <c r="F1810" t="str">
        <f>"52.2001"</f>
        <v>52.2001</v>
      </c>
      <c r="G1810" s="8" t="s">
        <v>3664</v>
      </c>
    </row>
    <row r="1811" spans="1:7" x14ac:dyDescent="0.35">
      <c r="D1811" t="s">
        <v>275</v>
      </c>
      <c r="E1811" t="s">
        <v>251</v>
      </c>
      <c r="F1811" t="str">
        <f>"52.2002"</f>
        <v>52.2002</v>
      </c>
      <c r="G1811" s="8" t="s">
        <v>3665</v>
      </c>
    </row>
    <row r="1812" spans="1:7" x14ac:dyDescent="0.35">
      <c r="D1812" t="s">
        <v>275</v>
      </c>
      <c r="E1812" t="s">
        <v>251</v>
      </c>
      <c r="F1812" t="str">
        <f>"52.2099"</f>
        <v>52.2099</v>
      </c>
      <c r="G1812" s="8" t="s">
        <v>3666</v>
      </c>
    </row>
    <row r="1813" spans="1:7" x14ac:dyDescent="0.35">
      <c r="A1813" t="str">
        <f>"52.2101"</f>
        <v>52.2101</v>
      </c>
      <c r="B1813" t="s">
        <v>3667</v>
      </c>
      <c r="C1813" s="8" t="s">
        <v>3668</v>
      </c>
      <c r="D1813" t="s">
        <v>250</v>
      </c>
      <c r="E1813" t="s">
        <v>251</v>
      </c>
      <c r="F1813" t="str">
        <f>"52.2101"</f>
        <v>52.2101</v>
      </c>
      <c r="G1813" s="8" t="s">
        <v>3668</v>
      </c>
    </row>
    <row r="1814" spans="1:7" ht="29" x14ac:dyDescent="0.35">
      <c r="A1814" t="str">
        <f>"52.9999"</f>
        <v>52.9999</v>
      </c>
      <c r="B1814" t="s">
        <v>3669</v>
      </c>
      <c r="C1814" s="8" t="s">
        <v>3670</v>
      </c>
      <c r="D1814" t="s">
        <v>250</v>
      </c>
      <c r="E1814" t="s">
        <v>251</v>
      </c>
      <c r="F1814" t="str">
        <f>"52.9999"</f>
        <v>52.9999</v>
      </c>
      <c r="G1814" s="8" t="s">
        <v>3670</v>
      </c>
    </row>
    <row r="1815" spans="1:7" ht="29" x14ac:dyDescent="0.35">
      <c r="A1815" t="str">
        <f>"53.0101"</f>
        <v>53.0101</v>
      </c>
      <c r="B1815" t="s">
        <v>3671</v>
      </c>
      <c r="C1815" s="8" t="s">
        <v>3672</v>
      </c>
      <c r="D1815" t="s">
        <v>250</v>
      </c>
      <c r="E1815" t="s">
        <v>251</v>
      </c>
      <c r="F1815" t="str">
        <f>"53.0101"</f>
        <v>53.0101</v>
      </c>
      <c r="G1815" s="8" t="s">
        <v>3672</v>
      </c>
    </row>
    <row r="1816" spans="1:7" ht="43.5" x14ac:dyDescent="0.35">
      <c r="A1816" t="str">
        <f>"53.0102"</f>
        <v>53.0102</v>
      </c>
      <c r="B1816" t="s">
        <v>3673</v>
      </c>
      <c r="C1816" s="8" t="s">
        <v>3674</v>
      </c>
      <c r="D1816" t="s">
        <v>250</v>
      </c>
      <c r="E1816" t="s">
        <v>251</v>
      </c>
      <c r="F1816" t="str">
        <f>"53.0102"</f>
        <v>53.0102</v>
      </c>
      <c r="G1816" s="8" t="s">
        <v>3674</v>
      </c>
    </row>
    <row r="1817" spans="1:7" ht="43.5" x14ac:dyDescent="0.35">
      <c r="A1817" t="str">
        <f>"53.0103"</f>
        <v>53.0103</v>
      </c>
      <c r="B1817" t="s">
        <v>3675</v>
      </c>
      <c r="C1817" s="8" t="s">
        <v>3676</v>
      </c>
      <c r="D1817" t="s">
        <v>250</v>
      </c>
      <c r="E1817" t="s">
        <v>251</v>
      </c>
      <c r="F1817" t="str">
        <f>"53.0103"</f>
        <v>53.0103</v>
      </c>
      <c r="G1817" s="8" t="s">
        <v>3676</v>
      </c>
    </row>
    <row r="1818" spans="1:7" ht="29" x14ac:dyDescent="0.35">
      <c r="A1818" t="str">
        <f>"53.0104"</f>
        <v>53.0104</v>
      </c>
      <c r="B1818" t="s">
        <v>3677</v>
      </c>
      <c r="C1818" s="8" t="s">
        <v>3678</v>
      </c>
      <c r="D1818" t="s">
        <v>250</v>
      </c>
      <c r="E1818" t="s">
        <v>251</v>
      </c>
      <c r="F1818" t="str">
        <f>"53.0104"</f>
        <v>53.0104</v>
      </c>
      <c r="G1818" s="8" t="s">
        <v>3678</v>
      </c>
    </row>
    <row r="1819" spans="1:7" ht="29" x14ac:dyDescent="0.35">
      <c r="A1819" t="str">
        <f>"53.0105"</f>
        <v>53.0105</v>
      </c>
      <c r="B1819" t="s">
        <v>3679</v>
      </c>
      <c r="C1819" s="8" t="s">
        <v>3680</v>
      </c>
      <c r="D1819" t="s">
        <v>250</v>
      </c>
      <c r="E1819" t="s">
        <v>251</v>
      </c>
      <c r="F1819" t="str">
        <f>"53.0105"</f>
        <v>53.0105</v>
      </c>
      <c r="G1819" s="8" t="s">
        <v>3680</v>
      </c>
    </row>
    <row r="1820" spans="1:7" ht="29" x14ac:dyDescent="0.35">
      <c r="A1820" t="str">
        <f>"53.0199"</f>
        <v>53.0199</v>
      </c>
      <c r="B1820" t="s">
        <v>3681</v>
      </c>
      <c r="C1820" s="8" t="s">
        <v>3682</v>
      </c>
      <c r="D1820" t="s">
        <v>250</v>
      </c>
      <c r="E1820" t="s">
        <v>251</v>
      </c>
      <c r="F1820" t="str">
        <f>"53.0199"</f>
        <v>53.0199</v>
      </c>
      <c r="G1820" s="8" t="s">
        <v>3682</v>
      </c>
    </row>
    <row r="1821" spans="1:7" ht="29" x14ac:dyDescent="0.35">
      <c r="A1821" t="str">
        <f>"53.0201"</f>
        <v>53.0201</v>
      </c>
      <c r="B1821" t="s">
        <v>3683</v>
      </c>
      <c r="C1821" s="8" t="s">
        <v>3684</v>
      </c>
      <c r="D1821" t="s">
        <v>250</v>
      </c>
      <c r="E1821" t="s">
        <v>251</v>
      </c>
      <c r="F1821" t="str">
        <f>"53.0201"</f>
        <v>53.0201</v>
      </c>
      <c r="G1821" s="8" t="s">
        <v>3684</v>
      </c>
    </row>
    <row r="1822" spans="1:7" ht="29" x14ac:dyDescent="0.35">
      <c r="A1822" t="str">
        <f>"53.0202"</f>
        <v>53.0202</v>
      </c>
      <c r="B1822" t="s">
        <v>3685</v>
      </c>
      <c r="C1822" s="8" t="s">
        <v>3686</v>
      </c>
      <c r="D1822" t="s">
        <v>250</v>
      </c>
      <c r="E1822" t="s">
        <v>251</v>
      </c>
      <c r="F1822" t="str">
        <f>"53.0202"</f>
        <v>53.0202</v>
      </c>
      <c r="G1822" s="8" t="s">
        <v>3686</v>
      </c>
    </row>
    <row r="1823" spans="1:7" x14ac:dyDescent="0.35">
      <c r="A1823" t="str">
        <f>"53.0203"</f>
        <v>53.0203</v>
      </c>
      <c r="B1823" t="s">
        <v>3687</v>
      </c>
      <c r="C1823" s="8" t="s">
        <v>3688</v>
      </c>
      <c r="D1823" t="s">
        <v>250</v>
      </c>
      <c r="E1823" t="s">
        <v>251</v>
      </c>
      <c r="F1823" t="str">
        <f>"53.0203"</f>
        <v>53.0203</v>
      </c>
      <c r="G1823" s="8" t="s">
        <v>3688</v>
      </c>
    </row>
    <row r="1824" spans="1:7" x14ac:dyDescent="0.35">
      <c r="A1824" t="str">
        <f>"53.0299"</f>
        <v>53.0299</v>
      </c>
      <c r="B1824" t="s">
        <v>3689</v>
      </c>
      <c r="C1824" s="8" t="s">
        <v>3690</v>
      </c>
      <c r="D1824" t="s">
        <v>250</v>
      </c>
      <c r="E1824" t="s">
        <v>251</v>
      </c>
      <c r="F1824" t="str">
        <f>"53.0299"</f>
        <v>53.0299</v>
      </c>
      <c r="G1824" s="8" t="s">
        <v>3690</v>
      </c>
    </row>
    <row r="1825" spans="1:7" x14ac:dyDescent="0.35">
      <c r="A1825" t="str">
        <f>"54.0101"</f>
        <v>54.0101</v>
      </c>
      <c r="B1825" t="s">
        <v>3691</v>
      </c>
      <c r="C1825" s="8" t="s">
        <v>3692</v>
      </c>
      <c r="D1825" t="s">
        <v>250</v>
      </c>
      <c r="E1825" t="s">
        <v>251</v>
      </c>
      <c r="F1825" t="str">
        <f>"54.0101"</f>
        <v>54.0101</v>
      </c>
      <c r="G1825" s="8" t="s">
        <v>3692</v>
      </c>
    </row>
    <row r="1826" spans="1:7" x14ac:dyDescent="0.35">
      <c r="A1826" t="str">
        <f>"54.0102"</f>
        <v>54.0102</v>
      </c>
      <c r="B1826" t="s">
        <v>3693</v>
      </c>
      <c r="C1826" s="8" t="s">
        <v>3694</v>
      </c>
      <c r="D1826" t="s">
        <v>250</v>
      </c>
      <c r="E1826" t="s">
        <v>251</v>
      </c>
      <c r="F1826" t="str">
        <f>"54.0102"</f>
        <v>54.0102</v>
      </c>
      <c r="G1826" s="8" t="s">
        <v>3694</v>
      </c>
    </row>
    <row r="1827" spans="1:7" x14ac:dyDescent="0.35">
      <c r="A1827" t="str">
        <f>"54.0103"</f>
        <v>54.0103</v>
      </c>
      <c r="B1827" t="s">
        <v>3695</v>
      </c>
      <c r="C1827" s="8" t="s">
        <v>3696</v>
      </c>
      <c r="D1827" t="s">
        <v>250</v>
      </c>
      <c r="E1827" t="s">
        <v>251</v>
      </c>
      <c r="F1827" t="str">
        <f>"54.0103"</f>
        <v>54.0103</v>
      </c>
      <c r="G1827" s="8" t="s">
        <v>3696</v>
      </c>
    </row>
    <row r="1828" spans="1:7" ht="29" x14ac:dyDescent="0.35">
      <c r="A1828" t="str">
        <f>"54.0104"</f>
        <v>54.0104</v>
      </c>
      <c r="B1828" t="s">
        <v>3697</v>
      </c>
      <c r="C1828" s="8" t="s">
        <v>3698</v>
      </c>
      <c r="D1828" t="s">
        <v>250</v>
      </c>
      <c r="E1828" t="s">
        <v>251</v>
      </c>
      <c r="F1828" t="str">
        <f>"54.0104"</f>
        <v>54.0104</v>
      </c>
      <c r="G1828" s="8" t="s">
        <v>3698</v>
      </c>
    </row>
    <row r="1829" spans="1:7" x14ac:dyDescent="0.35">
      <c r="A1829" t="str">
        <f>"54.0105"</f>
        <v>54.0105</v>
      </c>
      <c r="B1829" t="s">
        <v>3699</v>
      </c>
      <c r="C1829" s="8" t="s">
        <v>3700</v>
      </c>
      <c r="D1829" t="s">
        <v>250</v>
      </c>
      <c r="E1829" t="s">
        <v>251</v>
      </c>
      <c r="F1829" t="str">
        <f>"54.0105"</f>
        <v>54.0105</v>
      </c>
      <c r="G1829" s="8" t="s">
        <v>3700</v>
      </c>
    </row>
    <row r="1830" spans="1:7" x14ac:dyDescent="0.35">
      <c r="A1830" t="str">
        <f>"54.0106"</f>
        <v>54.0106</v>
      </c>
      <c r="B1830" t="s">
        <v>3701</v>
      </c>
      <c r="C1830" s="8" t="s">
        <v>3702</v>
      </c>
      <c r="D1830" t="s">
        <v>250</v>
      </c>
      <c r="E1830" t="s">
        <v>251</v>
      </c>
      <c r="F1830" t="str">
        <f>"54.0106"</f>
        <v>54.0106</v>
      </c>
      <c r="G1830" s="8" t="s">
        <v>3702</v>
      </c>
    </row>
    <row r="1831" spans="1:7" x14ac:dyDescent="0.35">
      <c r="A1831" t="str">
        <f>"54.0107"</f>
        <v>54.0107</v>
      </c>
      <c r="B1831" t="s">
        <v>3703</v>
      </c>
      <c r="C1831" s="8" t="s">
        <v>3704</v>
      </c>
      <c r="D1831" t="s">
        <v>250</v>
      </c>
      <c r="E1831" t="s">
        <v>251</v>
      </c>
      <c r="F1831" t="str">
        <f>"54.0107"</f>
        <v>54.0107</v>
      </c>
      <c r="G1831" s="8" t="s">
        <v>3704</v>
      </c>
    </row>
    <row r="1832" spans="1:7" x14ac:dyDescent="0.35">
      <c r="A1832" t="str">
        <f>"54.0108"</f>
        <v>54.0108</v>
      </c>
      <c r="B1832" t="s">
        <v>3705</v>
      </c>
      <c r="C1832" s="8" t="s">
        <v>3706</v>
      </c>
      <c r="D1832" t="s">
        <v>250</v>
      </c>
      <c r="E1832" t="s">
        <v>251</v>
      </c>
      <c r="F1832" t="str">
        <f>"54.0108"</f>
        <v>54.0108</v>
      </c>
      <c r="G1832" s="8" t="s">
        <v>3706</v>
      </c>
    </row>
    <row r="1833" spans="1:7" x14ac:dyDescent="0.35">
      <c r="A1833" t="str">
        <f>"54.0199"</f>
        <v>54.0199</v>
      </c>
      <c r="B1833" t="s">
        <v>3707</v>
      </c>
      <c r="C1833" s="8" t="s">
        <v>3708</v>
      </c>
      <c r="D1833" t="s">
        <v>250</v>
      </c>
      <c r="E1833" t="s">
        <v>251</v>
      </c>
      <c r="F1833" t="str">
        <f>"54.0199"</f>
        <v>54.0199</v>
      </c>
      <c r="G1833" s="8" t="s">
        <v>3708</v>
      </c>
    </row>
    <row r="1834" spans="1:7" x14ac:dyDescent="0.35">
      <c r="D1834" t="s">
        <v>275</v>
      </c>
      <c r="E1834" t="s">
        <v>251</v>
      </c>
      <c r="F1834" t="str">
        <f>"55.0101"</f>
        <v>55.0101</v>
      </c>
      <c r="G1834" s="8" t="s">
        <v>301</v>
      </c>
    </row>
    <row r="1835" spans="1:7" x14ac:dyDescent="0.35">
      <c r="D1835" t="s">
        <v>275</v>
      </c>
      <c r="E1835" t="s">
        <v>251</v>
      </c>
      <c r="F1835" t="str">
        <f>"55.1301"</f>
        <v>55.1301</v>
      </c>
      <c r="G1835" s="8" t="s">
        <v>301</v>
      </c>
    </row>
    <row r="1836" spans="1:7" x14ac:dyDescent="0.35">
      <c r="D1836" t="s">
        <v>275</v>
      </c>
      <c r="E1836" t="s">
        <v>251</v>
      </c>
      <c r="F1836" t="str">
        <f>"55.1302"</f>
        <v>55.1302</v>
      </c>
      <c r="G1836" s="8" t="s">
        <v>301</v>
      </c>
    </row>
    <row r="1837" spans="1:7" x14ac:dyDescent="0.35">
      <c r="D1837" t="s">
        <v>275</v>
      </c>
      <c r="E1837" t="s">
        <v>251</v>
      </c>
      <c r="F1837" t="str">
        <f>"55.1303"</f>
        <v>55.1303</v>
      </c>
      <c r="G1837" s="8" t="s">
        <v>301</v>
      </c>
    </row>
    <row r="1838" spans="1:7" x14ac:dyDescent="0.35">
      <c r="D1838" t="s">
        <v>275</v>
      </c>
      <c r="E1838" t="s">
        <v>251</v>
      </c>
      <c r="F1838" t="str">
        <f>"55.1304"</f>
        <v>55.1304</v>
      </c>
      <c r="G1838" s="8" t="s">
        <v>301</v>
      </c>
    </row>
    <row r="1839" spans="1:7" x14ac:dyDescent="0.35">
      <c r="D1839" t="s">
        <v>275</v>
      </c>
      <c r="E1839" t="s">
        <v>251</v>
      </c>
      <c r="F1839" t="str">
        <f>"55.1399"</f>
        <v>55.1399</v>
      </c>
      <c r="G1839" s="8" t="s">
        <v>301</v>
      </c>
    </row>
    <row r="1840" spans="1:7" x14ac:dyDescent="0.35">
      <c r="D1840" t="s">
        <v>275</v>
      </c>
      <c r="E1840" t="s">
        <v>251</v>
      </c>
      <c r="F1840" t="str">
        <f>"55.1401"</f>
        <v>55.1401</v>
      </c>
      <c r="G1840" s="8" t="s">
        <v>301</v>
      </c>
    </row>
    <row r="1841" spans="1:7" x14ac:dyDescent="0.35">
      <c r="D1841" t="s">
        <v>275</v>
      </c>
      <c r="E1841" t="s">
        <v>251</v>
      </c>
      <c r="F1841" t="str">
        <f>"55.1403"</f>
        <v>55.1403</v>
      </c>
      <c r="G1841" s="8" t="s">
        <v>301</v>
      </c>
    </row>
    <row r="1842" spans="1:7" x14ac:dyDescent="0.35">
      <c r="D1842" t="s">
        <v>275</v>
      </c>
      <c r="E1842" t="s">
        <v>251</v>
      </c>
      <c r="F1842" t="str">
        <f>"55.1404"</f>
        <v>55.1404</v>
      </c>
      <c r="G1842" s="8" t="s">
        <v>301</v>
      </c>
    </row>
    <row r="1843" spans="1:7" x14ac:dyDescent="0.35">
      <c r="D1843" t="s">
        <v>275</v>
      </c>
      <c r="E1843" t="s">
        <v>251</v>
      </c>
      <c r="F1843" t="str">
        <f>"55.1405"</f>
        <v>55.1405</v>
      </c>
      <c r="G1843" s="8" t="s">
        <v>301</v>
      </c>
    </row>
    <row r="1844" spans="1:7" x14ac:dyDescent="0.35">
      <c r="D1844" t="s">
        <v>275</v>
      </c>
      <c r="E1844" t="s">
        <v>251</v>
      </c>
      <c r="F1844" t="str">
        <f>"55.1499"</f>
        <v>55.1499</v>
      </c>
      <c r="G1844" s="8" t="s">
        <v>301</v>
      </c>
    </row>
    <row r="1845" spans="1:7" x14ac:dyDescent="0.35">
      <c r="D1845" t="s">
        <v>275</v>
      </c>
      <c r="E1845" t="s">
        <v>251</v>
      </c>
      <c r="F1845" t="str">
        <f>"55.9999"</f>
        <v>55.9999</v>
      </c>
      <c r="G1845" s="8" t="s">
        <v>301</v>
      </c>
    </row>
    <row r="1846" spans="1:7" ht="29" x14ac:dyDescent="0.35">
      <c r="A1846" t="str">
        <f>"60.0101"</f>
        <v>60.0101</v>
      </c>
      <c r="B1846" t="s">
        <v>3709</v>
      </c>
      <c r="C1846" s="8" t="s">
        <v>3710</v>
      </c>
      <c r="D1846" t="s">
        <v>250</v>
      </c>
      <c r="E1846" t="s">
        <v>251</v>
      </c>
      <c r="F1846" t="str">
        <f>"60.0101"</f>
        <v>60.0101</v>
      </c>
      <c r="G1846" s="8" t="s">
        <v>3710</v>
      </c>
    </row>
    <row r="1847" spans="1:7" x14ac:dyDescent="0.35">
      <c r="A1847" t="str">
        <f>"60.0102"</f>
        <v>60.0102</v>
      </c>
      <c r="B1847" t="s">
        <v>3711</v>
      </c>
      <c r="C1847" s="8" t="s">
        <v>3712</v>
      </c>
      <c r="D1847" t="s">
        <v>250</v>
      </c>
      <c r="E1847" t="s">
        <v>251</v>
      </c>
      <c r="F1847" t="str">
        <f>"60.0102"</f>
        <v>60.0102</v>
      </c>
      <c r="G1847" s="8" t="s">
        <v>3712</v>
      </c>
    </row>
    <row r="1848" spans="1:7" x14ac:dyDescent="0.35">
      <c r="A1848" t="str">
        <f>"60.0103"</f>
        <v>60.0103</v>
      </c>
      <c r="B1848" t="s">
        <v>3713</v>
      </c>
      <c r="C1848" s="8" t="s">
        <v>3714</v>
      </c>
      <c r="D1848" t="s">
        <v>250</v>
      </c>
      <c r="E1848" t="s">
        <v>251</v>
      </c>
      <c r="F1848" t="str">
        <f>"60.0103"</f>
        <v>60.0103</v>
      </c>
      <c r="G1848" s="8" t="s">
        <v>3714</v>
      </c>
    </row>
    <row r="1849" spans="1:7" ht="29" x14ac:dyDescent="0.35">
      <c r="A1849" t="str">
        <f>"60.0104"</f>
        <v>60.0104</v>
      </c>
      <c r="B1849" t="s">
        <v>3715</v>
      </c>
      <c r="C1849" s="8" t="s">
        <v>3716</v>
      </c>
      <c r="D1849" t="s">
        <v>250</v>
      </c>
      <c r="E1849" t="s">
        <v>251</v>
      </c>
      <c r="F1849" t="str">
        <f>"60.0104"</f>
        <v>60.0104</v>
      </c>
      <c r="G1849" s="8" t="s">
        <v>3716</v>
      </c>
    </row>
    <row r="1850" spans="1:7" x14ac:dyDescent="0.35">
      <c r="A1850" t="str">
        <f>"60.0105"</f>
        <v>60.0105</v>
      </c>
      <c r="B1850" t="s">
        <v>3717</v>
      </c>
      <c r="C1850" s="8" t="s">
        <v>3718</v>
      </c>
      <c r="D1850" t="s">
        <v>250</v>
      </c>
      <c r="E1850" t="s">
        <v>251</v>
      </c>
      <c r="F1850" t="str">
        <f>"60.0105"</f>
        <v>60.0105</v>
      </c>
      <c r="G1850" s="8" t="s">
        <v>3718</v>
      </c>
    </row>
    <row r="1851" spans="1:7" x14ac:dyDescent="0.35">
      <c r="A1851" t="str">
        <f>"60.0106"</f>
        <v>60.0106</v>
      </c>
      <c r="B1851" t="s">
        <v>3719</v>
      </c>
      <c r="C1851" s="8" t="s">
        <v>3720</v>
      </c>
      <c r="D1851" t="s">
        <v>250</v>
      </c>
      <c r="E1851" t="s">
        <v>251</v>
      </c>
      <c r="F1851" t="str">
        <f>"60.0106"</f>
        <v>60.0106</v>
      </c>
      <c r="G1851" s="8" t="s">
        <v>3720</v>
      </c>
    </row>
    <row r="1852" spans="1:7" x14ac:dyDescent="0.35">
      <c r="A1852" t="str">
        <f>"60.0107"</f>
        <v>60.0107</v>
      </c>
      <c r="B1852" t="s">
        <v>3721</v>
      </c>
      <c r="C1852" s="8" t="s">
        <v>3722</v>
      </c>
      <c r="D1852" t="s">
        <v>250</v>
      </c>
      <c r="E1852" t="s">
        <v>251</v>
      </c>
      <c r="F1852" t="str">
        <f>"60.0107"</f>
        <v>60.0107</v>
      </c>
      <c r="G1852" s="8" t="s">
        <v>3722</v>
      </c>
    </row>
    <row r="1853" spans="1:7" x14ac:dyDescent="0.35">
      <c r="A1853" t="str">
        <f>"60.0108"</f>
        <v>60.0108</v>
      </c>
      <c r="B1853" t="s">
        <v>3723</v>
      </c>
      <c r="C1853" s="8" t="s">
        <v>3724</v>
      </c>
      <c r="D1853" t="s">
        <v>250</v>
      </c>
      <c r="E1853" t="s">
        <v>251</v>
      </c>
      <c r="F1853" t="str">
        <f>"60.0108"</f>
        <v>60.0108</v>
      </c>
      <c r="G1853" s="8" t="s">
        <v>3724</v>
      </c>
    </row>
    <row r="1854" spans="1:7" ht="29" x14ac:dyDescent="0.35">
      <c r="A1854" t="str">
        <f>"60.0109"</f>
        <v>60.0109</v>
      </c>
      <c r="B1854" t="s">
        <v>3725</v>
      </c>
      <c r="C1854" s="8" t="s">
        <v>3726</v>
      </c>
      <c r="D1854" t="s">
        <v>250</v>
      </c>
      <c r="E1854" t="s">
        <v>251</v>
      </c>
      <c r="F1854" t="str">
        <f>"60.0109"</f>
        <v>60.0109</v>
      </c>
      <c r="G1854" s="8" t="s">
        <v>3726</v>
      </c>
    </row>
    <row r="1855" spans="1:7" x14ac:dyDescent="0.35">
      <c r="D1855" t="s">
        <v>275</v>
      </c>
      <c r="E1855" t="s">
        <v>251</v>
      </c>
      <c r="F1855" t="str">
        <f>"60.0110"</f>
        <v>60.0110</v>
      </c>
      <c r="G1855" s="8" t="s">
        <v>3727</v>
      </c>
    </row>
    <row r="1856" spans="1:7" x14ac:dyDescent="0.35">
      <c r="A1856" t="str">
        <f>"60.0199"</f>
        <v>60.0199</v>
      </c>
      <c r="B1856" t="s">
        <v>3728</v>
      </c>
      <c r="C1856" s="8" t="s">
        <v>3729</v>
      </c>
      <c r="D1856" t="s">
        <v>250</v>
      </c>
      <c r="E1856" t="s">
        <v>264</v>
      </c>
      <c r="F1856" t="str">
        <f>"60.0199"</f>
        <v>60.0199</v>
      </c>
      <c r="G1856" s="8" t="s">
        <v>3730</v>
      </c>
    </row>
    <row r="1857" spans="1:7" ht="29" x14ac:dyDescent="0.35">
      <c r="A1857" t="str">
        <f>"60.0301"</f>
        <v>60.0301</v>
      </c>
      <c r="B1857" t="s">
        <v>3731</v>
      </c>
      <c r="C1857" s="8" t="s">
        <v>3732</v>
      </c>
      <c r="D1857" t="s">
        <v>250</v>
      </c>
      <c r="E1857" t="s">
        <v>251</v>
      </c>
      <c r="F1857" t="str">
        <f>"60.0301"</f>
        <v>60.0301</v>
      </c>
      <c r="G1857" s="8" t="s">
        <v>3732</v>
      </c>
    </row>
    <row r="1858" spans="1:7" x14ac:dyDescent="0.35">
      <c r="A1858" t="str">
        <f>"60.0302"</f>
        <v>60.0302</v>
      </c>
      <c r="B1858" t="s">
        <v>3733</v>
      </c>
      <c r="C1858" s="8" t="s">
        <v>3734</v>
      </c>
      <c r="D1858" t="s">
        <v>250</v>
      </c>
      <c r="E1858" t="s">
        <v>251</v>
      </c>
      <c r="F1858" t="str">
        <f>"60.0302"</f>
        <v>60.0302</v>
      </c>
      <c r="G1858" s="8" t="s">
        <v>3734</v>
      </c>
    </row>
    <row r="1859" spans="1:7" ht="29" x14ac:dyDescent="0.35">
      <c r="A1859" t="str">
        <f>"60.0303"</f>
        <v>60.0303</v>
      </c>
      <c r="B1859" t="s">
        <v>3735</v>
      </c>
      <c r="C1859" s="8" t="s">
        <v>3736</v>
      </c>
      <c r="D1859" t="s">
        <v>250</v>
      </c>
      <c r="E1859" t="s">
        <v>251</v>
      </c>
      <c r="F1859" t="str">
        <f>"60.0303"</f>
        <v>60.0303</v>
      </c>
      <c r="G1859" s="8" t="s">
        <v>3736</v>
      </c>
    </row>
    <row r="1860" spans="1:7" ht="29" x14ac:dyDescent="0.35">
      <c r="A1860" t="str">
        <f>"60.0304"</f>
        <v>60.0304</v>
      </c>
      <c r="B1860" t="s">
        <v>3737</v>
      </c>
      <c r="C1860" s="8" t="s">
        <v>3738</v>
      </c>
      <c r="D1860" t="s">
        <v>250</v>
      </c>
      <c r="E1860" t="s">
        <v>251</v>
      </c>
      <c r="F1860" t="str">
        <f>"60.0304"</f>
        <v>60.0304</v>
      </c>
      <c r="G1860" s="8" t="s">
        <v>3738</v>
      </c>
    </row>
    <row r="1861" spans="1:7" ht="29" x14ac:dyDescent="0.35">
      <c r="A1861" t="str">
        <f>"60.0305"</f>
        <v>60.0305</v>
      </c>
      <c r="B1861" t="s">
        <v>3739</v>
      </c>
      <c r="C1861" s="8" t="s">
        <v>3740</v>
      </c>
      <c r="D1861" t="s">
        <v>250</v>
      </c>
      <c r="E1861" t="s">
        <v>251</v>
      </c>
      <c r="F1861" t="str">
        <f>"60.0305"</f>
        <v>60.0305</v>
      </c>
      <c r="G1861" s="8" t="s">
        <v>3740</v>
      </c>
    </row>
    <row r="1862" spans="1:7" ht="29" x14ac:dyDescent="0.35">
      <c r="A1862" t="str">
        <f>"60.0306"</f>
        <v>60.0306</v>
      </c>
      <c r="B1862" t="s">
        <v>3741</v>
      </c>
      <c r="C1862" s="8" t="s">
        <v>3742</v>
      </c>
      <c r="D1862" t="s">
        <v>250</v>
      </c>
      <c r="E1862" t="s">
        <v>251</v>
      </c>
      <c r="F1862" t="str">
        <f>"60.0306"</f>
        <v>60.0306</v>
      </c>
      <c r="G1862" s="8" t="s">
        <v>3742</v>
      </c>
    </row>
    <row r="1863" spans="1:7" ht="29" x14ac:dyDescent="0.35">
      <c r="A1863" t="str">
        <f>"60.0307"</f>
        <v>60.0307</v>
      </c>
      <c r="B1863" t="s">
        <v>3743</v>
      </c>
      <c r="C1863" s="8" t="s">
        <v>3744</v>
      </c>
      <c r="D1863" t="s">
        <v>250</v>
      </c>
      <c r="E1863" t="s">
        <v>251</v>
      </c>
      <c r="F1863" t="str">
        <f>"60.0307"</f>
        <v>60.0307</v>
      </c>
      <c r="G1863" s="8" t="s">
        <v>3744</v>
      </c>
    </row>
    <row r="1864" spans="1:7" x14ac:dyDescent="0.35">
      <c r="A1864" t="str">
        <f>"60.0308"</f>
        <v>60.0308</v>
      </c>
      <c r="B1864" t="s">
        <v>3745</v>
      </c>
      <c r="C1864" s="8" t="s">
        <v>3746</v>
      </c>
      <c r="D1864" t="s">
        <v>250</v>
      </c>
      <c r="E1864" t="s">
        <v>251</v>
      </c>
      <c r="F1864" t="str">
        <f>"60.0308"</f>
        <v>60.0308</v>
      </c>
      <c r="G1864" s="8" t="s">
        <v>3746</v>
      </c>
    </row>
    <row r="1865" spans="1:7" ht="29" x14ac:dyDescent="0.35">
      <c r="A1865" t="str">
        <f>"60.0309"</f>
        <v>60.0309</v>
      </c>
      <c r="B1865" t="s">
        <v>3747</v>
      </c>
      <c r="C1865" s="8" t="s">
        <v>3748</v>
      </c>
      <c r="D1865" t="s">
        <v>250</v>
      </c>
      <c r="E1865" t="s">
        <v>251</v>
      </c>
      <c r="F1865" t="str">
        <f>"60.0309"</f>
        <v>60.0309</v>
      </c>
      <c r="G1865" s="8" t="s">
        <v>3748</v>
      </c>
    </row>
    <row r="1866" spans="1:7" x14ac:dyDescent="0.35">
      <c r="A1866" t="str">
        <f>"60.0310"</f>
        <v>60.0310</v>
      </c>
      <c r="B1866" t="s">
        <v>3749</v>
      </c>
      <c r="C1866" s="8" t="s">
        <v>3750</v>
      </c>
      <c r="D1866" t="s">
        <v>250</v>
      </c>
      <c r="E1866" t="s">
        <v>251</v>
      </c>
      <c r="F1866" t="str">
        <f>"60.0310"</f>
        <v>60.0310</v>
      </c>
      <c r="G1866" s="8" t="s">
        <v>3750</v>
      </c>
    </row>
    <row r="1867" spans="1:7" x14ac:dyDescent="0.35">
      <c r="A1867" t="str">
        <f>"60.0311"</f>
        <v>60.0311</v>
      </c>
      <c r="B1867" t="s">
        <v>3751</v>
      </c>
      <c r="C1867" s="8" t="s">
        <v>3752</v>
      </c>
      <c r="D1867" t="s">
        <v>250</v>
      </c>
      <c r="E1867" t="s">
        <v>251</v>
      </c>
      <c r="F1867" t="str">
        <f>"60.0311"</f>
        <v>60.0311</v>
      </c>
      <c r="G1867" s="8" t="s">
        <v>3752</v>
      </c>
    </row>
    <row r="1868" spans="1:7" ht="29" x14ac:dyDescent="0.35">
      <c r="A1868" t="str">
        <f>"60.0312"</f>
        <v>60.0312</v>
      </c>
      <c r="B1868" t="s">
        <v>3753</v>
      </c>
      <c r="C1868" s="8" t="s">
        <v>3754</v>
      </c>
      <c r="D1868" t="s">
        <v>250</v>
      </c>
      <c r="E1868" t="s">
        <v>251</v>
      </c>
      <c r="F1868" t="str">
        <f>"60.0312"</f>
        <v>60.0312</v>
      </c>
      <c r="G1868" s="8" t="s">
        <v>3754</v>
      </c>
    </row>
    <row r="1869" spans="1:7" x14ac:dyDescent="0.35">
      <c r="A1869" t="str">
        <f>"60.0313"</f>
        <v>60.0313</v>
      </c>
      <c r="B1869" t="s">
        <v>3755</v>
      </c>
      <c r="C1869" s="8" t="s">
        <v>3756</v>
      </c>
      <c r="D1869" t="s">
        <v>250</v>
      </c>
      <c r="E1869" t="s">
        <v>251</v>
      </c>
      <c r="F1869" t="str">
        <f>"60.0313"</f>
        <v>60.0313</v>
      </c>
      <c r="G1869" s="8" t="s">
        <v>3756</v>
      </c>
    </row>
    <row r="1870" spans="1:7" x14ac:dyDescent="0.35">
      <c r="A1870" t="str">
        <f>"60.0314"</f>
        <v>60.0314</v>
      </c>
      <c r="B1870" t="s">
        <v>3757</v>
      </c>
      <c r="C1870" s="8" t="s">
        <v>3758</v>
      </c>
      <c r="D1870" t="s">
        <v>250</v>
      </c>
      <c r="E1870" t="s">
        <v>251</v>
      </c>
      <c r="F1870" t="str">
        <f>"60.0314"</f>
        <v>60.0314</v>
      </c>
      <c r="G1870" s="8" t="s">
        <v>3758</v>
      </c>
    </row>
    <row r="1871" spans="1:7" x14ac:dyDescent="0.35">
      <c r="A1871" t="str">
        <f>"60.0315"</f>
        <v>60.0315</v>
      </c>
      <c r="B1871" t="s">
        <v>3759</v>
      </c>
      <c r="C1871" s="8" t="s">
        <v>3760</v>
      </c>
      <c r="D1871" t="s">
        <v>250</v>
      </c>
      <c r="E1871" t="s">
        <v>251</v>
      </c>
      <c r="F1871" t="str">
        <f>"60.0315"</f>
        <v>60.0315</v>
      </c>
      <c r="G1871" s="8" t="s">
        <v>3760</v>
      </c>
    </row>
    <row r="1872" spans="1:7" x14ac:dyDescent="0.35">
      <c r="A1872" t="str">
        <f>"60.0316"</f>
        <v>60.0316</v>
      </c>
      <c r="B1872" t="s">
        <v>3761</v>
      </c>
      <c r="C1872" s="8" t="s">
        <v>3762</v>
      </c>
      <c r="D1872" t="s">
        <v>250</v>
      </c>
      <c r="E1872" t="s">
        <v>251</v>
      </c>
      <c r="F1872" t="str">
        <f>"60.0316"</f>
        <v>60.0316</v>
      </c>
      <c r="G1872" s="8" t="s">
        <v>3762</v>
      </c>
    </row>
    <row r="1873" spans="1:7" x14ac:dyDescent="0.35">
      <c r="A1873" t="str">
        <f>"60.0317"</f>
        <v>60.0317</v>
      </c>
      <c r="B1873" t="s">
        <v>3763</v>
      </c>
      <c r="C1873" s="8" t="s">
        <v>3764</v>
      </c>
      <c r="D1873" t="s">
        <v>250</v>
      </c>
      <c r="E1873" t="s">
        <v>251</v>
      </c>
      <c r="F1873" t="str">
        <f>"60.0317"</f>
        <v>60.0317</v>
      </c>
      <c r="G1873" s="8" t="s">
        <v>3764</v>
      </c>
    </row>
    <row r="1874" spans="1:7" x14ac:dyDescent="0.35">
      <c r="A1874" t="str">
        <f>"60.0318"</f>
        <v>60.0318</v>
      </c>
      <c r="B1874" t="s">
        <v>3765</v>
      </c>
      <c r="C1874" s="8" t="s">
        <v>3766</v>
      </c>
      <c r="D1874" t="s">
        <v>250</v>
      </c>
      <c r="E1874" t="s">
        <v>251</v>
      </c>
      <c r="F1874" t="str">
        <f>"60.0318"</f>
        <v>60.0318</v>
      </c>
      <c r="G1874" s="8" t="s">
        <v>3766</v>
      </c>
    </row>
    <row r="1875" spans="1:7" x14ac:dyDescent="0.35">
      <c r="A1875" t="str">
        <f>"60.0319"</f>
        <v>60.0319</v>
      </c>
      <c r="B1875" t="s">
        <v>3767</v>
      </c>
      <c r="C1875" s="8" t="s">
        <v>3768</v>
      </c>
      <c r="D1875" t="s">
        <v>250</v>
      </c>
      <c r="E1875" t="s">
        <v>251</v>
      </c>
      <c r="F1875" t="str">
        <f>"60.0319"</f>
        <v>60.0319</v>
      </c>
      <c r="G1875" s="8" t="s">
        <v>3768</v>
      </c>
    </row>
    <row r="1876" spans="1:7" ht="29" x14ac:dyDescent="0.35">
      <c r="A1876" t="str">
        <f>"60.0320"</f>
        <v>60.0320</v>
      </c>
      <c r="B1876" t="s">
        <v>3769</v>
      </c>
      <c r="C1876" s="8" t="s">
        <v>3770</v>
      </c>
      <c r="D1876" t="s">
        <v>250</v>
      </c>
      <c r="E1876" t="s">
        <v>251</v>
      </c>
      <c r="F1876" t="str">
        <f>"60.0320"</f>
        <v>60.0320</v>
      </c>
      <c r="G1876" s="8" t="s">
        <v>3770</v>
      </c>
    </row>
    <row r="1877" spans="1:7" x14ac:dyDescent="0.35">
      <c r="A1877" t="str">
        <f>"60.0399"</f>
        <v>60.0399</v>
      </c>
      <c r="B1877" t="s">
        <v>3771</v>
      </c>
      <c r="C1877" s="8" t="s">
        <v>3772</v>
      </c>
      <c r="D1877" t="s">
        <v>250</v>
      </c>
      <c r="E1877" t="s">
        <v>264</v>
      </c>
      <c r="F1877" t="str">
        <f>"60.0399"</f>
        <v>60.0399</v>
      </c>
      <c r="G1877" s="8" t="s">
        <v>3773</v>
      </c>
    </row>
    <row r="1878" spans="1:7" x14ac:dyDescent="0.35">
      <c r="A1878" t="str">
        <f>"60.0401"</f>
        <v>60.0401</v>
      </c>
      <c r="B1878" t="s">
        <v>3774</v>
      </c>
      <c r="C1878" s="8" t="s">
        <v>3775</v>
      </c>
      <c r="D1878" t="s">
        <v>295</v>
      </c>
      <c r="E1878" t="s">
        <v>251</v>
      </c>
      <c r="F1878" t="str">
        <f>"61.2302"</f>
        <v>61.2302</v>
      </c>
      <c r="G1878" s="8" t="s">
        <v>3775</v>
      </c>
    </row>
    <row r="1879" spans="1:7" ht="29" x14ac:dyDescent="0.35">
      <c r="A1879" t="str">
        <f>"60.0402"</f>
        <v>60.0402</v>
      </c>
      <c r="B1879" t="s">
        <v>3776</v>
      </c>
      <c r="C1879" s="8" t="s">
        <v>3777</v>
      </c>
      <c r="D1879" t="s">
        <v>295</v>
      </c>
      <c r="E1879" t="s">
        <v>264</v>
      </c>
      <c r="F1879" t="str">
        <f>"61.0301"</f>
        <v>61.0301</v>
      </c>
      <c r="G1879" s="8" t="s">
        <v>3778</v>
      </c>
    </row>
    <row r="1880" spans="1:7" x14ac:dyDescent="0.35">
      <c r="A1880" t="str">
        <f>"60.0403"</f>
        <v>60.0403</v>
      </c>
      <c r="B1880" t="s">
        <v>3779</v>
      </c>
      <c r="C1880" s="8" t="s">
        <v>3780</v>
      </c>
      <c r="D1880" t="s">
        <v>295</v>
      </c>
      <c r="E1880" t="s">
        <v>264</v>
      </c>
      <c r="F1880" t="str">
        <f>"61.0401"</f>
        <v>61.0401</v>
      </c>
      <c r="G1880" s="8" t="s">
        <v>3780</v>
      </c>
    </row>
    <row r="1881" spans="1:7" x14ac:dyDescent="0.35">
      <c r="A1881" t="str">
        <f>"60.0404"</f>
        <v>60.0404</v>
      </c>
      <c r="B1881" t="s">
        <v>3781</v>
      </c>
      <c r="C1881" s="8" t="s">
        <v>3782</v>
      </c>
      <c r="D1881" t="s">
        <v>295</v>
      </c>
      <c r="E1881" t="s">
        <v>251</v>
      </c>
      <c r="F1881" t="str">
        <f>"61.1102"</f>
        <v>61.1102</v>
      </c>
      <c r="G1881" s="8" t="s">
        <v>3782</v>
      </c>
    </row>
    <row r="1882" spans="1:7" ht="29" x14ac:dyDescent="0.35">
      <c r="A1882" t="str">
        <f>"60.0405"</f>
        <v>60.0405</v>
      </c>
      <c r="B1882" t="s">
        <v>3783</v>
      </c>
      <c r="C1882" s="8" t="s">
        <v>3784</v>
      </c>
      <c r="D1882" t="s">
        <v>295</v>
      </c>
      <c r="E1882" t="s">
        <v>264</v>
      </c>
      <c r="F1882" t="str">
        <f>"61.0901"</f>
        <v>61.0901</v>
      </c>
      <c r="G1882" s="8" t="s">
        <v>3784</v>
      </c>
    </row>
    <row r="1883" spans="1:7" x14ac:dyDescent="0.35">
      <c r="A1883" t="str">
        <f>"60.0406"</f>
        <v>60.0406</v>
      </c>
      <c r="B1883" t="s">
        <v>3785</v>
      </c>
      <c r="C1883" s="8" t="s">
        <v>3786</v>
      </c>
      <c r="D1883" t="s">
        <v>3787</v>
      </c>
      <c r="E1883" t="s">
        <v>251</v>
      </c>
      <c r="F1883" t="str">
        <f>"60.0406"</f>
        <v>60.0406</v>
      </c>
      <c r="G1883" s="8" t="s">
        <v>3788</v>
      </c>
    </row>
    <row r="1884" spans="1:7" ht="29" x14ac:dyDescent="0.35">
      <c r="A1884" t="str">
        <f>"60.0407"</f>
        <v>60.0407</v>
      </c>
      <c r="B1884" t="s">
        <v>3789</v>
      </c>
      <c r="C1884" s="8" t="s">
        <v>3790</v>
      </c>
      <c r="D1884" t="s">
        <v>295</v>
      </c>
      <c r="E1884" t="s">
        <v>264</v>
      </c>
      <c r="F1884" t="str">
        <f>"61.0902"</f>
        <v>61.0902</v>
      </c>
      <c r="G1884" s="8" t="s">
        <v>3791</v>
      </c>
    </row>
    <row r="1885" spans="1:7" ht="29" x14ac:dyDescent="0.35">
      <c r="A1885" t="str">
        <f>"60.0408"</f>
        <v>60.0408</v>
      </c>
      <c r="B1885" t="s">
        <v>3792</v>
      </c>
      <c r="C1885" s="8" t="s">
        <v>3793</v>
      </c>
      <c r="D1885" t="s">
        <v>3787</v>
      </c>
      <c r="E1885" t="s">
        <v>251</v>
      </c>
      <c r="F1885" t="str">
        <f>"60.0408"</f>
        <v>60.0408</v>
      </c>
      <c r="G1885" s="8" t="s">
        <v>3788</v>
      </c>
    </row>
    <row r="1886" spans="1:7" ht="29" x14ac:dyDescent="0.35">
      <c r="A1886" t="str">
        <f>"60.0409"</f>
        <v>60.0409</v>
      </c>
      <c r="B1886" t="s">
        <v>3794</v>
      </c>
      <c r="C1886" s="8" t="s">
        <v>3795</v>
      </c>
      <c r="D1886" t="s">
        <v>295</v>
      </c>
      <c r="E1886" t="s">
        <v>264</v>
      </c>
      <c r="F1886" t="str">
        <f>"61.2702"</f>
        <v>61.2702</v>
      </c>
      <c r="G1886" s="8" t="s">
        <v>3795</v>
      </c>
    </row>
    <row r="1887" spans="1:7" x14ac:dyDescent="0.35">
      <c r="A1887" t="str">
        <f>"60.0410"</f>
        <v>60.0410</v>
      </c>
      <c r="B1887" t="s">
        <v>3796</v>
      </c>
      <c r="C1887" s="8" t="s">
        <v>3797</v>
      </c>
      <c r="D1887" t="s">
        <v>295</v>
      </c>
      <c r="E1887" t="s">
        <v>251</v>
      </c>
      <c r="F1887" t="str">
        <f>"61.0501"</f>
        <v>61.0501</v>
      </c>
      <c r="G1887" s="8" t="s">
        <v>3797</v>
      </c>
    </row>
    <row r="1888" spans="1:7" x14ac:dyDescent="0.35">
      <c r="A1888" t="str">
        <f>"60.0411"</f>
        <v>60.0411</v>
      </c>
      <c r="B1888" t="s">
        <v>3798</v>
      </c>
      <c r="C1888" s="8" t="s">
        <v>3799</v>
      </c>
      <c r="D1888" t="s">
        <v>295</v>
      </c>
      <c r="E1888" t="s">
        <v>251</v>
      </c>
      <c r="F1888" t="str">
        <f>"61.2601"</f>
        <v>61.2601</v>
      </c>
      <c r="G1888" s="8" t="s">
        <v>3799</v>
      </c>
    </row>
    <row r="1889" spans="1:7" x14ac:dyDescent="0.35">
      <c r="A1889" t="str">
        <f>"60.0412"</f>
        <v>60.0412</v>
      </c>
      <c r="B1889" t="s">
        <v>3800</v>
      </c>
      <c r="C1889" s="8" t="s">
        <v>3801</v>
      </c>
      <c r="D1889" t="s">
        <v>295</v>
      </c>
      <c r="E1889" t="s">
        <v>251</v>
      </c>
      <c r="F1889" t="str">
        <f>"61.0601"</f>
        <v>61.0601</v>
      </c>
      <c r="G1889" s="8" t="s">
        <v>3801</v>
      </c>
    </row>
    <row r="1890" spans="1:7" x14ac:dyDescent="0.35">
      <c r="A1890" t="str">
        <f>"60.0413"</f>
        <v>60.0413</v>
      </c>
      <c r="B1890" t="s">
        <v>3802</v>
      </c>
      <c r="C1890" s="8" t="s">
        <v>3803</v>
      </c>
      <c r="D1890" t="s">
        <v>295</v>
      </c>
      <c r="E1890" t="s">
        <v>251</v>
      </c>
      <c r="F1890" t="str">
        <f>"61.0701"</f>
        <v>61.0701</v>
      </c>
      <c r="G1890" s="8" t="s">
        <v>3803</v>
      </c>
    </row>
    <row r="1891" spans="1:7" x14ac:dyDescent="0.35">
      <c r="A1891" t="str">
        <f>"60.0414"</f>
        <v>60.0414</v>
      </c>
      <c r="B1891" t="s">
        <v>3804</v>
      </c>
      <c r="C1891" s="8" t="s">
        <v>3805</v>
      </c>
      <c r="D1891" t="s">
        <v>295</v>
      </c>
      <c r="E1891" t="s">
        <v>251</v>
      </c>
      <c r="F1891" t="str">
        <f>"61.2701"</f>
        <v>61.2701</v>
      </c>
      <c r="G1891" s="8" t="s">
        <v>3805</v>
      </c>
    </row>
    <row r="1892" spans="1:7" x14ac:dyDescent="0.35">
      <c r="A1892" t="str">
        <f>"60.0415"</f>
        <v>60.0415</v>
      </c>
      <c r="B1892" t="s">
        <v>3806</v>
      </c>
      <c r="C1892" s="8" t="s">
        <v>3807</v>
      </c>
      <c r="D1892" t="s">
        <v>295</v>
      </c>
      <c r="E1892" t="s">
        <v>251</v>
      </c>
      <c r="F1892" t="str">
        <f>"61.0801"</f>
        <v>61.0801</v>
      </c>
      <c r="G1892" s="8" t="s">
        <v>3807</v>
      </c>
    </row>
    <row r="1893" spans="1:7" x14ac:dyDescent="0.35">
      <c r="A1893" t="str">
        <f>"60.0416"</f>
        <v>60.0416</v>
      </c>
      <c r="B1893" t="s">
        <v>3808</v>
      </c>
      <c r="C1893" s="8" t="s">
        <v>3809</v>
      </c>
      <c r="D1893" t="s">
        <v>295</v>
      </c>
      <c r="E1893" t="s">
        <v>251</v>
      </c>
      <c r="F1893" t="str">
        <f>"61.1001"</f>
        <v>61.1001</v>
      </c>
      <c r="G1893" s="8" t="s">
        <v>3809</v>
      </c>
    </row>
    <row r="1894" spans="1:7" x14ac:dyDescent="0.35">
      <c r="A1894" t="str">
        <f>"60.0417"</f>
        <v>60.0417</v>
      </c>
      <c r="B1894" t="s">
        <v>3810</v>
      </c>
      <c r="C1894" s="8" t="s">
        <v>3811</v>
      </c>
      <c r="D1894" t="s">
        <v>295</v>
      </c>
      <c r="E1894" t="s">
        <v>251</v>
      </c>
      <c r="F1894" t="str">
        <f>"61.1101"</f>
        <v>61.1101</v>
      </c>
      <c r="G1894" s="8" t="s">
        <v>3811</v>
      </c>
    </row>
    <row r="1895" spans="1:7" x14ac:dyDescent="0.35">
      <c r="A1895" t="str">
        <f>"60.0418"</f>
        <v>60.0418</v>
      </c>
      <c r="B1895" t="s">
        <v>3812</v>
      </c>
      <c r="C1895" s="8" t="s">
        <v>3813</v>
      </c>
      <c r="D1895" t="s">
        <v>295</v>
      </c>
      <c r="E1895" t="s">
        <v>251</v>
      </c>
      <c r="F1895" t="str">
        <f>"61.1201"</f>
        <v>61.1201</v>
      </c>
      <c r="G1895" s="8" t="s">
        <v>3813</v>
      </c>
    </row>
    <row r="1896" spans="1:7" ht="29" x14ac:dyDescent="0.35">
      <c r="A1896" t="str">
        <f>"60.0419"</f>
        <v>60.0419</v>
      </c>
      <c r="B1896" t="s">
        <v>3814</v>
      </c>
      <c r="C1896" s="8" t="s">
        <v>3815</v>
      </c>
      <c r="D1896" t="s">
        <v>295</v>
      </c>
      <c r="E1896" t="s">
        <v>251</v>
      </c>
      <c r="F1896" t="str">
        <f>"61.1301"</f>
        <v>61.1301</v>
      </c>
      <c r="G1896" s="8" t="s">
        <v>3815</v>
      </c>
    </row>
    <row r="1897" spans="1:7" ht="29" x14ac:dyDescent="0.35">
      <c r="A1897" t="str">
        <f>"60.0420"</f>
        <v>60.0420</v>
      </c>
      <c r="B1897" t="s">
        <v>3816</v>
      </c>
      <c r="C1897" s="8" t="s">
        <v>3817</v>
      </c>
      <c r="D1897" t="s">
        <v>295</v>
      </c>
      <c r="E1897" t="s">
        <v>251</v>
      </c>
      <c r="F1897" t="str">
        <f>"61.2303"</f>
        <v>61.2303</v>
      </c>
      <c r="G1897" s="8" t="s">
        <v>3817</v>
      </c>
    </row>
    <row r="1898" spans="1:7" x14ac:dyDescent="0.35">
      <c r="A1898" t="str">
        <f>"60.0421"</f>
        <v>60.0421</v>
      </c>
      <c r="B1898" t="s">
        <v>3818</v>
      </c>
      <c r="C1898" s="8" t="s">
        <v>3819</v>
      </c>
      <c r="D1898" t="s">
        <v>295</v>
      </c>
      <c r="E1898" t="s">
        <v>251</v>
      </c>
      <c r="F1898" t="str">
        <f>"61.1401"</f>
        <v>61.1401</v>
      </c>
      <c r="G1898" s="8" t="s">
        <v>3819</v>
      </c>
    </row>
    <row r="1899" spans="1:7" x14ac:dyDescent="0.35">
      <c r="A1899" t="str">
        <f>"60.0422"</f>
        <v>60.0422</v>
      </c>
      <c r="B1899" t="s">
        <v>3820</v>
      </c>
      <c r="C1899" s="8" t="s">
        <v>3821</v>
      </c>
      <c r="D1899" t="s">
        <v>295</v>
      </c>
      <c r="E1899" t="s">
        <v>251</v>
      </c>
      <c r="F1899" t="str">
        <f>"61.1501"</f>
        <v>61.1501</v>
      </c>
      <c r="G1899" s="8" t="s">
        <v>3821</v>
      </c>
    </row>
    <row r="1900" spans="1:7" x14ac:dyDescent="0.35">
      <c r="A1900" t="str">
        <f>"60.0423"</f>
        <v>60.0423</v>
      </c>
      <c r="B1900" t="s">
        <v>3822</v>
      </c>
      <c r="C1900" s="8" t="s">
        <v>3823</v>
      </c>
      <c r="D1900" t="s">
        <v>295</v>
      </c>
      <c r="E1900" t="s">
        <v>251</v>
      </c>
      <c r="F1900" t="str">
        <f>"61.1701"</f>
        <v>61.1701</v>
      </c>
      <c r="G1900" s="8" t="s">
        <v>3823</v>
      </c>
    </row>
    <row r="1901" spans="1:7" ht="29" x14ac:dyDescent="0.35">
      <c r="A1901" t="str">
        <f>"60.0424"</f>
        <v>60.0424</v>
      </c>
      <c r="B1901" t="s">
        <v>3824</v>
      </c>
      <c r="C1901" s="8" t="s">
        <v>3825</v>
      </c>
      <c r="D1901" t="s">
        <v>295</v>
      </c>
      <c r="E1901" t="s">
        <v>264</v>
      </c>
      <c r="F1901" t="str">
        <f>"61.1801"</f>
        <v>61.1801</v>
      </c>
      <c r="G1901" s="8" t="s">
        <v>3826</v>
      </c>
    </row>
    <row r="1902" spans="1:7" x14ac:dyDescent="0.35">
      <c r="A1902" t="str">
        <f>"60.0425"</f>
        <v>60.0425</v>
      </c>
      <c r="B1902" t="s">
        <v>3827</v>
      </c>
      <c r="C1902" s="8" t="s">
        <v>3828</v>
      </c>
      <c r="D1902" t="s">
        <v>295</v>
      </c>
      <c r="E1902" t="s">
        <v>251</v>
      </c>
      <c r="F1902" t="str">
        <f>"61.1901"</f>
        <v>61.1901</v>
      </c>
      <c r="G1902" s="8" t="s">
        <v>3828</v>
      </c>
    </row>
    <row r="1903" spans="1:7" ht="29" x14ac:dyDescent="0.35">
      <c r="A1903" t="str">
        <f>"60.0426"</f>
        <v>60.0426</v>
      </c>
      <c r="B1903" t="s">
        <v>3829</v>
      </c>
      <c r="C1903" s="8" t="s">
        <v>3830</v>
      </c>
      <c r="D1903" t="s">
        <v>295</v>
      </c>
      <c r="E1903" t="s">
        <v>251</v>
      </c>
      <c r="F1903" t="str">
        <f>"61.2001"</f>
        <v>61.2001</v>
      </c>
      <c r="G1903" s="8" t="s">
        <v>3830</v>
      </c>
    </row>
    <row r="1904" spans="1:7" x14ac:dyDescent="0.35">
      <c r="A1904" t="str">
        <f>"60.0427"</f>
        <v>60.0427</v>
      </c>
      <c r="B1904" t="s">
        <v>3831</v>
      </c>
      <c r="C1904" s="8" t="s">
        <v>3832</v>
      </c>
      <c r="D1904" t="s">
        <v>295</v>
      </c>
      <c r="E1904" t="s">
        <v>251</v>
      </c>
      <c r="F1904" t="str">
        <f>"61.2101"</f>
        <v>61.2101</v>
      </c>
      <c r="G1904" s="8" t="s">
        <v>3832</v>
      </c>
    </row>
    <row r="1905" spans="1:7" x14ac:dyDescent="0.35">
      <c r="A1905" t="str">
        <f>"60.0428"</f>
        <v>60.0428</v>
      </c>
      <c r="B1905" t="s">
        <v>3833</v>
      </c>
      <c r="C1905" s="8" t="s">
        <v>3834</v>
      </c>
      <c r="D1905" t="s">
        <v>295</v>
      </c>
      <c r="E1905" t="s">
        <v>251</v>
      </c>
      <c r="F1905" t="str">
        <f>"61.2401"</f>
        <v>61.2401</v>
      </c>
      <c r="G1905" s="8" t="s">
        <v>3834</v>
      </c>
    </row>
    <row r="1906" spans="1:7" ht="29" x14ac:dyDescent="0.35">
      <c r="A1906" t="str">
        <f>"60.0429"</f>
        <v>60.0429</v>
      </c>
      <c r="B1906" t="s">
        <v>3835</v>
      </c>
      <c r="C1906" s="8" t="s">
        <v>3836</v>
      </c>
      <c r="D1906" t="s">
        <v>295</v>
      </c>
      <c r="E1906" t="s">
        <v>251</v>
      </c>
      <c r="F1906" t="str">
        <f>"61.2301"</f>
        <v>61.2301</v>
      </c>
      <c r="G1906" s="8" t="s">
        <v>3836</v>
      </c>
    </row>
    <row r="1907" spans="1:7" x14ac:dyDescent="0.35">
      <c r="A1907" t="str">
        <f>"60.0430"</f>
        <v>60.0430</v>
      </c>
      <c r="B1907" t="s">
        <v>3837</v>
      </c>
      <c r="C1907" s="8" t="s">
        <v>3838</v>
      </c>
      <c r="D1907" t="s">
        <v>295</v>
      </c>
      <c r="E1907" t="s">
        <v>251</v>
      </c>
      <c r="F1907" t="str">
        <f>"61.2501"</f>
        <v>61.2501</v>
      </c>
      <c r="G1907" s="8" t="s">
        <v>3838</v>
      </c>
    </row>
    <row r="1908" spans="1:7" x14ac:dyDescent="0.35">
      <c r="A1908" t="str">
        <f>"60.0431"</f>
        <v>60.0431</v>
      </c>
      <c r="B1908" t="s">
        <v>3839</v>
      </c>
      <c r="C1908" s="8" t="s">
        <v>3840</v>
      </c>
      <c r="D1908" t="s">
        <v>295</v>
      </c>
      <c r="E1908" t="s">
        <v>251</v>
      </c>
      <c r="F1908" t="str">
        <f>"61.2610"</f>
        <v>61.2610</v>
      </c>
      <c r="G1908" s="8" t="s">
        <v>3840</v>
      </c>
    </row>
    <row r="1909" spans="1:7" x14ac:dyDescent="0.35">
      <c r="A1909" t="str">
        <f>"60.0432"</f>
        <v>60.0432</v>
      </c>
      <c r="B1909" t="s">
        <v>3841</v>
      </c>
      <c r="C1909" s="8" t="s">
        <v>3842</v>
      </c>
      <c r="D1909" t="s">
        <v>295</v>
      </c>
      <c r="E1909" t="s">
        <v>264</v>
      </c>
      <c r="F1909" t="str">
        <f>"61.2707"</f>
        <v>61.2707</v>
      </c>
      <c r="G1909" s="8" t="s">
        <v>3843</v>
      </c>
    </row>
    <row r="1910" spans="1:7" x14ac:dyDescent="0.35">
      <c r="A1910" t="str">
        <f>"60.0433"</f>
        <v>60.0433</v>
      </c>
      <c r="B1910" t="s">
        <v>3844</v>
      </c>
      <c r="C1910" s="8" t="s">
        <v>3845</v>
      </c>
      <c r="D1910" t="s">
        <v>295</v>
      </c>
      <c r="E1910" t="s">
        <v>264</v>
      </c>
      <c r="F1910" t="str">
        <f>"61.2801"</f>
        <v>61.2801</v>
      </c>
      <c r="G1910" s="8" t="s">
        <v>3845</v>
      </c>
    </row>
    <row r="1911" spans="1:7" x14ac:dyDescent="0.35">
      <c r="A1911" t="str">
        <f>"60.0434"</f>
        <v>60.0434</v>
      </c>
      <c r="B1911" t="s">
        <v>3846</v>
      </c>
      <c r="C1911" s="8" t="s">
        <v>3847</v>
      </c>
      <c r="D1911" t="s">
        <v>295</v>
      </c>
      <c r="E1911" t="s">
        <v>264</v>
      </c>
      <c r="F1911" t="str">
        <f>"61.2708"</f>
        <v>61.2708</v>
      </c>
      <c r="G1911" s="8" t="s">
        <v>3848</v>
      </c>
    </row>
    <row r="1912" spans="1:7" ht="29" x14ac:dyDescent="0.35">
      <c r="A1912" t="str">
        <f>"60.0499"</f>
        <v>60.0499</v>
      </c>
      <c r="B1912" t="s">
        <v>3849</v>
      </c>
      <c r="C1912" s="8" t="s">
        <v>3850</v>
      </c>
      <c r="D1912" t="s">
        <v>3787</v>
      </c>
      <c r="E1912" t="s">
        <v>251</v>
      </c>
      <c r="F1912" t="str">
        <f>"60.0499"</f>
        <v>60.0499</v>
      </c>
      <c r="G1912" s="8" t="s">
        <v>3851</v>
      </c>
    </row>
    <row r="1913" spans="1:7" x14ac:dyDescent="0.35">
      <c r="A1913" t="str">
        <f>"60.0501"</f>
        <v>60.0501</v>
      </c>
      <c r="B1913" t="s">
        <v>3852</v>
      </c>
      <c r="C1913" s="8" t="s">
        <v>3853</v>
      </c>
      <c r="D1913" t="s">
        <v>295</v>
      </c>
      <c r="E1913" t="s">
        <v>264</v>
      </c>
      <c r="F1913" t="str">
        <f>"61.2402"</f>
        <v>61.2402</v>
      </c>
      <c r="G1913" s="8" t="s">
        <v>3854</v>
      </c>
    </row>
    <row r="1914" spans="1:7" x14ac:dyDescent="0.35">
      <c r="A1914" t="str">
        <f>"60.0502"</f>
        <v>60.0502</v>
      </c>
      <c r="B1914" t="s">
        <v>3855</v>
      </c>
      <c r="C1914" s="8" t="s">
        <v>3856</v>
      </c>
      <c r="D1914" t="s">
        <v>295</v>
      </c>
      <c r="E1914" t="s">
        <v>264</v>
      </c>
      <c r="F1914" t="str">
        <f>"61.1902"</f>
        <v>61.1902</v>
      </c>
      <c r="G1914" s="8" t="s">
        <v>3857</v>
      </c>
    </row>
    <row r="1915" spans="1:7" ht="29" x14ac:dyDescent="0.35">
      <c r="A1915" t="str">
        <f>"60.0503"</f>
        <v>60.0503</v>
      </c>
      <c r="B1915" t="s">
        <v>3858</v>
      </c>
      <c r="C1915" s="8" t="s">
        <v>3859</v>
      </c>
      <c r="D1915" t="s">
        <v>295</v>
      </c>
      <c r="E1915" t="s">
        <v>264</v>
      </c>
      <c r="F1915" t="str">
        <f>"61.1804"</f>
        <v>61.1804</v>
      </c>
      <c r="G1915" s="8" t="s">
        <v>3860</v>
      </c>
    </row>
    <row r="1916" spans="1:7" ht="29" x14ac:dyDescent="0.35">
      <c r="A1916" t="str">
        <f>"60.0504"</f>
        <v>60.0504</v>
      </c>
      <c r="B1916" t="s">
        <v>3861</v>
      </c>
      <c r="C1916" s="8" t="s">
        <v>3862</v>
      </c>
      <c r="D1916" t="s">
        <v>295</v>
      </c>
      <c r="E1916" t="s">
        <v>264</v>
      </c>
      <c r="F1916" t="str">
        <f>"61.0804"</f>
        <v>61.0804</v>
      </c>
      <c r="G1916" s="8" t="s">
        <v>3863</v>
      </c>
    </row>
    <row r="1917" spans="1:7" x14ac:dyDescent="0.35">
      <c r="A1917" t="str">
        <f>"60.0505"</f>
        <v>60.0505</v>
      </c>
      <c r="B1917" t="s">
        <v>3864</v>
      </c>
      <c r="C1917" s="8" t="s">
        <v>3865</v>
      </c>
      <c r="D1917" t="s">
        <v>295</v>
      </c>
      <c r="E1917" t="s">
        <v>264</v>
      </c>
      <c r="F1917" t="str">
        <f>"61.1805"</f>
        <v>61.1805</v>
      </c>
      <c r="G1917" s="8" t="s">
        <v>3866</v>
      </c>
    </row>
    <row r="1918" spans="1:7" x14ac:dyDescent="0.35">
      <c r="A1918" t="str">
        <f>"60.0506"</f>
        <v>60.0506</v>
      </c>
      <c r="B1918" t="s">
        <v>3867</v>
      </c>
      <c r="C1918" s="8" t="s">
        <v>3868</v>
      </c>
      <c r="D1918" t="s">
        <v>295</v>
      </c>
      <c r="E1918" t="s">
        <v>264</v>
      </c>
      <c r="F1918" t="str">
        <f>"61.1903"</f>
        <v>61.1903</v>
      </c>
      <c r="G1918" s="8" t="s">
        <v>3869</v>
      </c>
    </row>
    <row r="1919" spans="1:7" ht="29" x14ac:dyDescent="0.35">
      <c r="A1919" t="str">
        <f>"60.0507"</f>
        <v>60.0507</v>
      </c>
      <c r="B1919" t="s">
        <v>3870</v>
      </c>
      <c r="C1919" s="8" t="s">
        <v>3871</v>
      </c>
      <c r="D1919" t="s">
        <v>295</v>
      </c>
      <c r="E1919" t="s">
        <v>264</v>
      </c>
      <c r="F1919" t="str">
        <f>"61.2403"</f>
        <v>61.2403</v>
      </c>
      <c r="G1919" s="8" t="s">
        <v>3872</v>
      </c>
    </row>
    <row r="1920" spans="1:7" ht="29" x14ac:dyDescent="0.35">
      <c r="A1920" t="str">
        <f>"60.0508"</f>
        <v>60.0508</v>
      </c>
      <c r="B1920" t="s">
        <v>3873</v>
      </c>
      <c r="C1920" s="8" t="s">
        <v>3874</v>
      </c>
      <c r="D1920" t="s">
        <v>295</v>
      </c>
      <c r="E1920" t="s">
        <v>264</v>
      </c>
      <c r="F1920" t="str">
        <f>"61.0805"</f>
        <v>61.0805</v>
      </c>
      <c r="G1920" s="8" t="s">
        <v>3875</v>
      </c>
    </row>
    <row r="1921" spans="1:7" ht="29" x14ac:dyDescent="0.35">
      <c r="A1921" t="str">
        <f>"60.0509"</f>
        <v>60.0509</v>
      </c>
      <c r="B1921" t="s">
        <v>3876</v>
      </c>
      <c r="C1921" s="8" t="s">
        <v>3877</v>
      </c>
      <c r="D1921" t="s">
        <v>295</v>
      </c>
      <c r="E1921" t="s">
        <v>264</v>
      </c>
      <c r="F1921" t="str">
        <f>"61.1103"</f>
        <v>61.1103</v>
      </c>
      <c r="G1921" s="8" t="s">
        <v>3878</v>
      </c>
    </row>
    <row r="1922" spans="1:7" ht="29" x14ac:dyDescent="0.35">
      <c r="A1922" t="str">
        <f>"60.0510"</f>
        <v>60.0510</v>
      </c>
      <c r="B1922" t="s">
        <v>3879</v>
      </c>
      <c r="C1922" s="8" t="s">
        <v>3880</v>
      </c>
      <c r="D1922" t="s">
        <v>295</v>
      </c>
      <c r="E1922" t="s">
        <v>264</v>
      </c>
      <c r="F1922" t="str">
        <f>"61.2704"</f>
        <v>61.2704</v>
      </c>
      <c r="G1922" s="8" t="s">
        <v>3881</v>
      </c>
    </row>
    <row r="1923" spans="1:7" x14ac:dyDescent="0.35">
      <c r="A1923" t="str">
        <f>"60.0511"</f>
        <v>60.0511</v>
      </c>
      <c r="B1923" t="s">
        <v>3882</v>
      </c>
      <c r="C1923" s="8" t="s">
        <v>3883</v>
      </c>
      <c r="D1923" t="s">
        <v>295</v>
      </c>
      <c r="E1923" t="s">
        <v>264</v>
      </c>
      <c r="F1923" t="str">
        <f>"61.0202"</f>
        <v>61.0202</v>
      </c>
      <c r="G1923" s="8" t="s">
        <v>3884</v>
      </c>
    </row>
    <row r="1924" spans="1:7" x14ac:dyDescent="0.35">
      <c r="A1924" t="str">
        <f>"60.0512"</f>
        <v>60.0512</v>
      </c>
      <c r="B1924" t="s">
        <v>3885</v>
      </c>
      <c r="C1924" s="8" t="s">
        <v>3886</v>
      </c>
      <c r="D1924" t="s">
        <v>295</v>
      </c>
      <c r="E1924" t="s">
        <v>264</v>
      </c>
      <c r="F1924" t="str">
        <f>"61.1806"</f>
        <v>61.1806</v>
      </c>
      <c r="G1924" s="8" t="s">
        <v>3887</v>
      </c>
    </row>
    <row r="1925" spans="1:7" x14ac:dyDescent="0.35">
      <c r="A1925" t="str">
        <f>"60.0513"</f>
        <v>60.0513</v>
      </c>
      <c r="B1925" t="s">
        <v>3888</v>
      </c>
      <c r="C1925" s="8" t="s">
        <v>3889</v>
      </c>
      <c r="D1925" t="s">
        <v>295</v>
      </c>
      <c r="E1925" t="s">
        <v>264</v>
      </c>
      <c r="F1925" t="str">
        <f>"61.0502"</f>
        <v>61.0502</v>
      </c>
      <c r="G1925" s="8" t="s">
        <v>3890</v>
      </c>
    </row>
    <row r="1926" spans="1:7" ht="29" x14ac:dyDescent="0.35">
      <c r="A1926" t="str">
        <f>"60.0514"</f>
        <v>60.0514</v>
      </c>
      <c r="B1926" t="s">
        <v>3891</v>
      </c>
      <c r="C1926" s="8" t="s">
        <v>3892</v>
      </c>
      <c r="D1926" t="s">
        <v>295</v>
      </c>
      <c r="E1926" t="s">
        <v>264</v>
      </c>
      <c r="F1926" t="str">
        <f>"61.1904"</f>
        <v>61.1904</v>
      </c>
      <c r="G1926" s="8" t="s">
        <v>3893</v>
      </c>
    </row>
    <row r="1927" spans="1:7" ht="29" x14ac:dyDescent="0.35">
      <c r="A1927" t="str">
        <f>"60.0515"</f>
        <v>60.0515</v>
      </c>
      <c r="B1927" t="s">
        <v>3894</v>
      </c>
      <c r="C1927" s="8" t="s">
        <v>3895</v>
      </c>
      <c r="D1927" t="s">
        <v>295</v>
      </c>
      <c r="E1927" t="s">
        <v>251</v>
      </c>
      <c r="F1927" t="str">
        <f>"61.2604"</f>
        <v>61.2604</v>
      </c>
      <c r="G1927" s="8" t="s">
        <v>3895</v>
      </c>
    </row>
    <row r="1928" spans="1:7" ht="29" x14ac:dyDescent="0.35">
      <c r="A1928" t="str">
        <f>"60.0516"</f>
        <v>60.0516</v>
      </c>
      <c r="B1928" t="s">
        <v>3896</v>
      </c>
      <c r="C1928" s="8" t="s">
        <v>3897</v>
      </c>
      <c r="D1928" t="s">
        <v>295</v>
      </c>
      <c r="E1928" t="s">
        <v>264</v>
      </c>
      <c r="F1928" t="str">
        <f>"61.0806"</f>
        <v>61.0806</v>
      </c>
      <c r="G1928" s="8" t="s">
        <v>3898</v>
      </c>
    </row>
    <row r="1929" spans="1:7" x14ac:dyDescent="0.35">
      <c r="A1929" t="str">
        <f>"60.0517"</f>
        <v>60.0517</v>
      </c>
      <c r="B1929" t="s">
        <v>3899</v>
      </c>
      <c r="C1929" s="8" t="s">
        <v>3900</v>
      </c>
      <c r="D1929" t="s">
        <v>295</v>
      </c>
      <c r="E1929" t="s">
        <v>264</v>
      </c>
      <c r="F1929" t="str">
        <f>"61.1807"</f>
        <v>61.1807</v>
      </c>
      <c r="G1929" s="8" t="s">
        <v>3901</v>
      </c>
    </row>
    <row r="1930" spans="1:7" x14ac:dyDescent="0.35">
      <c r="A1930" t="str">
        <f>"60.0518"</f>
        <v>60.0518</v>
      </c>
      <c r="B1930" t="s">
        <v>3902</v>
      </c>
      <c r="C1930" s="8" t="s">
        <v>3903</v>
      </c>
      <c r="D1930" t="s">
        <v>295</v>
      </c>
      <c r="E1930" t="s">
        <v>264</v>
      </c>
      <c r="F1930" t="str">
        <f>"61.2405"</f>
        <v>61.2405</v>
      </c>
      <c r="G1930" s="8" t="s">
        <v>3904</v>
      </c>
    </row>
    <row r="1931" spans="1:7" x14ac:dyDescent="0.35">
      <c r="A1931" t="str">
        <f>"60.0519"</f>
        <v>60.0519</v>
      </c>
      <c r="B1931" t="s">
        <v>3905</v>
      </c>
      <c r="C1931" s="8" t="s">
        <v>3906</v>
      </c>
      <c r="D1931" t="s">
        <v>295</v>
      </c>
      <c r="E1931" t="s">
        <v>264</v>
      </c>
      <c r="F1931" t="str">
        <f>"61.0807"</f>
        <v>61.0807</v>
      </c>
      <c r="G1931" s="8" t="s">
        <v>3907</v>
      </c>
    </row>
    <row r="1932" spans="1:7" x14ac:dyDescent="0.35">
      <c r="A1932" t="str">
        <f>"60.0520"</f>
        <v>60.0520</v>
      </c>
      <c r="B1932" t="s">
        <v>3908</v>
      </c>
      <c r="C1932" s="8" t="s">
        <v>3909</v>
      </c>
      <c r="D1932" t="s">
        <v>295</v>
      </c>
      <c r="E1932" t="s">
        <v>264</v>
      </c>
      <c r="F1932" t="str">
        <f>"61.0203"</f>
        <v>61.0203</v>
      </c>
      <c r="G1932" s="8" t="s">
        <v>3910</v>
      </c>
    </row>
    <row r="1933" spans="1:7" x14ac:dyDescent="0.35">
      <c r="A1933" t="str">
        <f>"60.0521"</f>
        <v>60.0521</v>
      </c>
      <c r="B1933" t="s">
        <v>3911</v>
      </c>
      <c r="C1933" s="8" t="s">
        <v>3912</v>
      </c>
      <c r="D1933" t="s">
        <v>295</v>
      </c>
      <c r="E1933" t="s">
        <v>264</v>
      </c>
      <c r="F1933" t="str">
        <f>"61.2406"</f>
        <v>61.2406</v>
      </c>
      <c r="G1933" s="8" t="s">
        <v>3913</v>
      </c>
    </row>
    <row r="1934" spans="1:7" x14ac:dyDescent="0.35">
      <c r="A1934" t="str">
        <f>"60.0522"</f>
        <v>60.0522</v>
      </c>
      <c r="B1934" t="s">
        <v>3914</v>
      </c>
      <c r="C1934" s="8" t="s">
        <v>3915</v>
      </c>
      <c r="D1934" t="s">
        <v>295</v>
      </c>
      <c r="E1934" t="s">
        <v>264</v>
      </c>
      <c r="F1934" t="str">
        <f>"61.1302"</f>
        <v>61.1302</v>
      </c>
      <c r="G1934" s="8" t="s">
        <v>3916</v>
      </c>
    </row>
    <row r="1935" spans="1:7" ht="29" x14ac:dyDescent="0.35">
      <c r="A1935" t="str">
        <f>"60.0523"</f>
        <v>60.0523</v>
      </c>
      <c r="B1935" t="s">
        <v>3917</v>
      </c>
      <c r="C1935" s="8" t="s">
        <v>3918</v>
      </c>
      <c r="D1935" t="s">
        <v>295</v>
      </c>
      <c r="E1935" t="s">
        <v>264</v>
      </c>
      <c r="F1935" t="str">
        <f>"61.1808"</f>
        <v>61.1808</v>
      </c>
      <c r="G1935" s="8" t="s">
        <v>3919</v>
      </c>
    </row>
    <row r="1936" spans="1:7" x14ac:dyDescent="0.35">
      <c r="A1936" t="str">
        <f>"60.0524"</f>
        <v>60.0524</v>
      </c>
      <c r="B1936" t="s">
        <v>3920</v>
      </c>
      <c r="C1936" s="8" t="s">
        <v>3921</v>
      </c>
      <c r="D1936" t="s">
        <v>295</v>
      </c>
      <c r="E1936" t="s">
        <v>264</v>
      </c>
      <c r="F1936" t="str">
        <f>"61.0808"</f>
        <v>61.0808</v>
      </c>
      <c r="G1936" s="8" t="s">
        <v>3922</v>
      </c>
    </row>
    <row r="1937" spans="1:7" ht="29" x14ac:dyDescent="0.35">
      <c r="A1937" t="str">
        <f>"60.0525"</f>
        <v>60.0525</v>
      </c>
      <c r="B1937" t="s">
        <v>3923</v>
      </c>
      <c r="C1937" s="8" t="s">
        <v>3924</v>
      </c>
      <c r="D1937" t="s">
        <v>295</v>
      </c>
      <c r="E1937" t="s">
        <v>264</v>
      </c>
      <c r="F1937" t="str">
        <f>"61.0205"</f>
        <v>61.0205</v>
      </c>
      <c r="G1937" s="8" t="s">
        <v>3925</v>
      </c>
    </row>
    <row r="1938" spans="1:7" x14ac:dyDescent="0.35">
      <c r="A1938" t="str">
        <f>"60.0526"</f>
        <v>60.0526</v>
      </c>
      <c r="B1938" t="s">
        <v>3926</v>
      </c>
      <c r="C1938" s="8" t="s">
        <v>3927</v>
      </c>
      <c r="D1938" t="s">
        <v>295</v>
      </c>
      <c r="E1938" t="s">
        <v>264</v>
      </c>
      <c r="F1938" t="str">
        <f>"61.1809"</f>
        <v>61.1809</v>
      </c>
      <c r="G1938" s="8" t="s">
        <v>3928</v>
      </c>
    </row>
    <row r="1939" spans="1:7" x14ac:dyDescent="0.35">
      <c r="A1939" t="str">
        <f>"60.0527"</f>
        <v>60.0527</v>
      </c>
      <c r="B1939" t="s">
        <v>3929</v>
      </c>
      <c r="C1939" s="8" t="s">
        <v>3930</v>
      </c>
      <c r="D1939" t="s">
        <v>295</v>
      </c>
      <c r="E1939" t="s">
        <v>264</v>
      </c>
      <c r="F1939" t="str">
        <f>"61.0810"</f>
        <v>61.0810</v>
      </c>
      <c r="G1939" s="8" t="s">
        <v>3931</v>
      </c>
    </row>
    <row r="1940" spans="1:7" ht="29" x14ac:dyDescent="0.35">
      <c r="A1940" t="str">
        <f>"60.0528"</f>
        <v>60.0528</v>
      </c>
      <c r="B1940" t="s">
        <v>3932</v>
      </c>
      <c r="C1940" s="8" t="s">
        <v>3933</v>
      </c>
      <c r="D1940" t="s">
        <v>295</v>
      </c>
      <c r="E1940" t="s">
        <v>264</v>
      </c>
      <c r="F1940" t="str">
        <f>"61.0811"</f>
        <v>61.0811</v>
      </c>
      <c r="G1940" s="8" t="s">
        <v>3934</v>
      </c>
    </row>
    <row r="1941" spans="1:7" x14ac:dyDescent="0.35">
      <c r="A1941" t="str">
        <f>"60.0529"</f>
        <v>60.0529</v>
      </c>
      <c r="B1941" t="s">
        <v>3935</v>
      </c>
      <c r="C1941" s="8" t="s">
        <v>3936</v>
      </c>
      <c r="D1941" t="s">
        <v>295</v>
      </c>
      <c r="E1941" t="s">
        <v>264</v>
      </c>
      <c r="F1941" t="str">
        <f>"61.1810"</f>
        <v>61.1810</v>
      </c>
      <c r="G1941" s="8" t="s">
        <v>3937</v>
      </c>
    </row>
    <row r="1942" spans="1:7" ht="29" x14ac:dyDescent="0.35">
      <c r="A1942" t="str">
        <f>"60.0530"</f>
        <v>60.0530</v>
      </c>
      <c r="B1942" t="s">
        <v>3938</v>
      </c>
      <c r="C1942" s="8" t="s">
        <v>3939</v>
      </c>
      <c r="D1942" t="s">
        <v>295</v>
      </c>
      <c r="E1942" t="s">
        <v>264</v>
      </c>
      <c r="F1942" t="str">
        <f>"61.1303"</f>
        <v>61.1303</v>
      </c>
      <c r="G1942" s="8" t="s">
        <v>3940</v>
      </c>
    </row>
    <row r="1943" spans="1:7" ht="29" x14ac:dyDescent="0.35">
      <c r="A1943" t="str">
        <f>"60.0531"</f>
        <v>60.0531</v>
      </c>
      <c r="B1943" t="s">
        <v>3941</v>
      </c>
      <c r="C1943" s="8" t="s">
        <v>3942</v>
      </c>
      <c r="D1943" t="s">
        <v>295</v>
      </c>
      <c r="E1943" t="s">
        <v>264</v>
      </c>
      <c r="F1943" t="str">
        <f>"61.0904"</f>
        <v>61.0904</v>
      </c>
      <c r="G1943" s="8" t="s">
        <v>3942</v>
      </c>
    </row>
    <row r="1944" spans="1:7" x14ac:dyDescent="0.35">
      <c r="A1944" t="str">
        <f>"60.0532"</f>
        <v>60.0532</v>
      </c>
      <c r="B1944" t="s">
        <v>3943</v>
      </c>
      <c r="C1944" s="8" t="s">
        <v>3944</v>
      </c>
      <c r="D1944" t="s">
        <v>295</v>
      </c>
      <c r="E1944" t="s">
        <v>264</v>
      </c>
      <c r="F1944" t="str">
        <f>"61.1811"</f>
        <v>61.1811</v>
      </c>
      <c r="G1944" s="8" t="s">
        <v>3945</v>
      </c>
    </row>
    <row r="1945" spans="1:7" ht="29" x14ac:dyDescent="0.35">
      <c r="A1945" t="str">
        <f>"60.0533"</f>
        <v>60.0533</v>
      </c>
      <c r="B1945" t="s">
        <v>3946</v>
      </c>
      <c r="C1945" s="8" t="s">
        <v>3947</v>
      </c>
      <c r="D1945" t="s">
        <v>295</v>
      </c>
      <c r="E1945" t="s">
        <v>251</v>
      </c>
      <c r="F1945" t="str">
        <f>"61.2605"</f>
        <v>61.2605</v>
      </c>
      <c r="G1945" s="8" t="s">
        <v>3947</v>
      </c>
    </row>
    <row r="1946" spans="1:7" x14ac:dyDescent="0.35">
      <c r="A1946" t="str">
        <f>"60.0534"</f>
        <v>60.0534</v>
      </c>
      <c r="B1946" t="s">
        <v>3948</v>
      </c>
      <c r="C1946" s="8" t="s">
        <v>3949</v>
      </c>
      <c r="D1946" t="s">
        <v>295</v>
      </c>
      <c r="E1946" t="s">
        <v>264</v>
      </c>
      <c r="F1946" t="str">
        <f>"61.0813"</f>
        <v>61.0813</v>
      </c>
      <c r="G1946" s="8" t="s">
        <v>3950</v>
      </c>
    </row>
    <row r="1947" spans="1:7" x14ac:dyDescent="0.35">
      <c r="A1947" t="str">
        <f>"60.0535"</f>
        <v>60.0535</v>
      </c>
      <c r="B1947" t="s">
        <v>3951</v>
      </c>
      <c r="C1947" s="8" t="s">
        <v>3952</v>
      </c>
      <c r="D1947" t="s">
        <v>295</v>
      </c>
      <c r="E1947" t="s">
        <v>264</v>
      </c>
      <c r="F1947" t="str">
        <f>"61.0208"</f>
        <v>61.0208</v>
      </c>
      <c r="G1947" s="8" t="s">
        <v>3953</v>
      </c>
    </row>
    <row r="1948" spans="1:7" ht="29" x14ac:dyDescent="0.35">
      <c r="A1948" t="str">
        <f>"60.0536"</f>
        <v>60.0536</v>
      </c>
      <c r="B1948" t="s">
        <v>3954</v>
      </c>
      <c r="C1948" s="8" t="s">
        <v>3955</v>
      </c>
      <c r="D1948" t="s">
        <v>295</v>
      </c>
      <c r="E1948" t="s">
        <v>264</v>
      </c>
      <c r="F1948" t="str">
        <f>"61.1812"</f>
        <v>61.1812</v>
      </c>
      <c r="G1948" s="8" t="s">
        <v>3956</v>
      </c>
    </row>
    <row r="1949" spans="1:7" ht="29" x14ac:dyDescent="0.35">
      <c r="A1949" t="str">
        <f>"60.0537"</f>
        <v>60.0537</v>
      </c>
      <c r="B1949" t="s">
        <v>3957</v>
      </c>
      <c r="C1949" s="8" t="s">
        <v>3958</v>
      </c>
      <c r="D1949" t="s">
        <v>295</v>
      </c>
      <c r="E1949" t="s">
        <v>264</v>
      </c>
      <c r="F1949" t="str">
        <f>"61.1502"</f>
        <v>61.1502</v>
      </c>
      <c r="G1949" s="8" t="s">
        <v>3959</v>
      </c>
    </row>
    <row r="1950" spans="1:7" ht="29" x14ac:dyDescent="0.35">
      <c r="A1950" t="str">
        <f>"60.0538"</f>
        <v>60.0538</v>
      </c>
      <c r="B1950" t="s">
        <v>3960</v>
      </c>
      <c r="C1950" s="8" t="s">
        <v>3961</v>
      </c>
      <c r="D1950" t="s">
        <v>295</v>
      </c>
      <c r="E1950" t="s">
        <v>264</v>
      </c>
      <c r="F1950" t="str">
        <f>"61.1905"</f>
        <v>61.1905</v>
      </c>
      <c r="G1950" s="8" t="s">
        <v>3962</v>
      </c>
    </row>
    <row r="1951" spans="1:7" x14ac:dyDescent="0.35">
      <c r="A1951" t="str">
        <f>"60.0539"</f>
        <v>60.0539</v>
      </c>
      <c r="B1951" t="s">
        <v>3963</v>
      </c>
      <c r="C1951" s="8" t="s">
        <v>3964</v>
      </c>
      <c r="D1951" t="s">
        <v>295</v>
      </c>
      <c r="E1951" t="s">
        <v>264</v>
      </c>
      <c r="F1951" t="str">
        <f>"61.0812"</f>
        <v>61.0812</v>
      </c>
      <c r="G1951" s="8" t="s">
        <v>3965</v>
      </c>
    </row>
    <row r="1952" spans="1:7" ht="29" x14ac:dyDescent="0.35">
      <c r="A1952" t="str">
        <f>"60.0540"</f>
        <v>60.0540</v>
      </c>
      <c r="B1952" t="s">
        <v>3966</v>
      </c>
      <c r="C1952" s="8" t="s">
        <v>3967</v>
      </c>
      <c r="D1952" t="s">
        <v>295</v>
      </c>
      <c r="E1952" t="s">
        <v>264</v>
      </c>
      <c r="F1952" t="str">
        <f>"61.1106"</f>
        <v>61.1106</v>
      </c>
      <c r="G1952" s="8" t="s">
        <v>3968</v>
      </c>
    </row>
    <row r="1953" spans="1:7" ht="29" x14ac:dyDescent="0.35">
      <c r="A1953" t="str">
        <f>"60.0541"</f>
        <v>60.0541</v>
      </c>
      <c r="B1953" t="s">
        <v>3969</v>
      </c>
      <c r="C1953" s="8" t="s">
        <v>3970</v>
      </c>
      <c r="D1953" t="s">
        <v>295</v>
      </c>
      <c r="E1953" t="s">
        <v>264</v>
      </c>
      <c r="F1953" t="str">
        <f>"61.0209"</f>
        <v>61.0209</v>
      </c>
      <c r="G1953" s="8" t="s">
        <v>3971</v>
      </c>
    </row>
    <row r="1954" spans="1:7" x14ac:dyDescent="0.35">
      <c r="A1954" t="str">
        <f>"60.0542"</f>
        <v>60.0542</v>
      </c>
      <c r="B1954" t="s">
        <v>3972</v>
      </c>
      <c r="C1954" s="8" t="s">
        <v>3973</v>
      </c>
      <c r="D1954" t="s">
        <v>295</v>
      </c>
      <c r="E1954" t="s">
        <v>264</v>
      </c>
      <c r="F1954" t="str">
        <f>"61.1813"</f>
        <v>61.1813</v>
      </c>
      <c r="G1954" s="8" t="s">
        <v>3974</v>
      </c>
    </row>
    <row r="1955" spans="1:7" x14ac:dyDescent="0.35">
      <c r="A1955" t="str">
        <f>"60.0543"</f>
        <v>60.0543</v>
      </c>
      <c r="B1955" t="s">
        <v>3975</v>
      </c>
      <c r="C1955" s="8" t="s">
        <v>3976</v>
      </c>
      <c r="D1955" t="s">
        <v>295</v>
      </c>
      <c r="E1955" t="s">
        <v>264</v>
      </c>
      <c r="F1955" t="str">
        <f>"61.2607"</f>
        <v>61.2607</v>
      </c>
      <c r="G1955" s="8" t="s">
        <v>3977</v>
      </c>
    </row>
    <row r="1956" spans="1:7" x14ac:dyDescent="0.35">
      <c r="A1956" t="str">
        <f>"60.0544"</f>
        <v>60.0544</v>
      </c>
      <c r="B1956" t="s">
        <v>3978</v>
      </c>
      <c r="C1956" s="8" t="s">
        <v>3979</v>
      </c>
      <c r="D1956" t="s">
        <v>295</v>
      </c>
      <c r="E1956" t="s">
        <v>264</v>
      </c>
      <c r="F1956" t="str">
        <f>"61.1702"</f>
        <v>61.1702</v>
      </c>
      <c r="G1956" s="8" t="s">
        <v>3980</v>
      </c>
    </row>
    <row r="1957" spans="1:7" x14ac:dyDescent="0.35">
      <c r="A1957" t="str">
        <f>"60.0545"</f>
        <v>60.0545</v>
      </c>
      <c r="B1957" t="s">
        <v>3981</v>
      </c>
      <c r="C1957" s="8" t="s">
        <v>3982</v>
      </c>
      <c r="D1957" t="s">
        <v>295</v>
      </c>
      <c r="E1957" t="s">
        <v>264</v>
      </c>
      <c r="F1957" t="str">
        <f>"61.2608"</f>
        <v>61.2608</v>
      </c>
      <c r="G1957" s="8" t="s">
        <v>3983</v>
      </c>
    </row>
    <row r="1958" spans="1:7" ht="29" x14ac:dyDescent="0.35">
      <c r="A1958" t="str">
        <f>"60.0546"</f>
        <v>60.0546</v>
      </c>
      <c r="B1958" t="s">
        <v>3984</v>
      </c>
      <c r="C1958" s="8" t="s">
        <v>3985</v>
      </c>
      <c r="D1958" t="s">
        <v>295</v>
      </c>
      <c r="E1958" t="s">
        <v>264</v>
      </c>
      <c r="F1958" t="str">
        <f>"61.1503"</f>
        <v>61.1503</v>
      </c>
      <c r="G1958" s="8" t="s">
        <v>3986</v>
      </c>
    </row>
    <row r="1959" spans="1:7" ht="29" x14ac:dyDescent="0.35">
      <c r="A1959" t="str">
        <f>"60.0547"</f>
        <v>60.0547</v>
      </c>
      <c r="B1959" t="s">
        <v>3987</v>
      </c>
      <c r="C1959" s="8" t="s">
        <v>3988</v>
      </c>
      <c r="D1959" t="s">
        <v>295</v>
      </c>
      <c r="E1959" t="s">
        <v>264</v>
      </c>
      <c r="F1959" t="str">
        <f>"61.1504"</f>
        <v>61.1504</v>
      </c>
      <c r="G1959" s="8" t="s">
        <v>3989</v>
      </c>
    </row>
    <row r="1960" spans="1:7" x14ac:dyDescent="0.35">
      <c r="A1960" t="str">
        <f>"60.0548"</f>
        <v>60.0548</v>
      </c>
      <c r="B1960" t="s">
        <v>3990</v>
      </c>
      <c r="C1960" s="8" t="s">
        <v>3991</v>
      </c>
      <c r="D1960" t="s">
        <v>295</v>
      </c>
      <c r="E1960" t="s">
        <v>264</v>
      </c>
      <c r="F1960" t="str">
        <f>"61.0210"</f>
        <v>61.0210</v>
      </c>
      <c r="G1960" s="8" t="s">
        <v>3992</v>
      </c>
    </row>
    <row r="1961" spans="1:7" x14ac:dyDescent="0.35">
      <c r="A1961" t="str">
        <f>"60.0549"</f>
        <v>60.0549</v>
      </c>
      <c r="B1961" t="s">
        <v>3993</v>
      </c>
      <c r="C1961" s="8" t="s">
        <v>3994</v>
      </c>
      <c r="D1961" t="s">
        <v>295</v>
      </c>
      <c r="E1961" t="s">
        <v>264</v>
      </c>
      <c r="F1961" t="str">
        <f>"61.1906"</f>
        <v>61.1906</v>
      </c>
      <c r="G1961" s="8" t="s">
        <v>3995</v>
      </c>
    </row>
    <row r="1962" spans="1:7" ht="29" x14ac:dyDescent="0.35">
      <c r="A1962" t="str">
        <f>"60.0550"</f>
        <v>60.0550</v>
      </c>
      <c r="B1962" t="s">
        <v>3996</v>
      </c>
      <c r="C1962" s="8" t="s">
        <v>3997</v>
      </c>
      <c r="D1962" t="s">
        <v>295</v>
      </c>
      <c r="E1962" t="s">
        <v>264</v>
      </c>
      <c r="F1962" t="str">
        <f>"61.1907"</f>
        <v>61.1907</v>
      </c>
      <c r="G1962" s="8" t="s">
        <v>3998</v>
      </c>
    </row>
    <row r="1963" spans="1:7" x14ac:dyDescent="0.35">
      <c r="A1963" t="str">
        <f>"60.0551"</f>
        <v>60.0551</v>
      </c>
      <c r="B1963" t="s">
        <v>3999</v>
      </c>
      <c r="C1963" s="8" t="s">
        <v>4000</v>
      </c>
      <c r="D1963" t="s">
        <v>295</v>
      </c>
      <c r="E1963" t="s">
        <v>264</v>
      </c>
      <c r="F1963" t="str">
        <f>"61.0503"</f>
        <v>61.0503</v>
      </c>
      <c r="G1963" s="8" t="s">
        <v>4001</v>
      </c>
    </row>
    <row r="1964" spans="1:7" ht="29" x14ac:dyDescent="0.35">
      <c r="A1964" t="str">
        <f>"60.0552"</f>
        <v>60.0552</v>
      </c>
      <c r="B1964" t="s">
        <v>4002</v>
      </c>
      <c r="C1964" s="8" t="s">
        <v>4003</v>
      </c>
      <c r="D1964" t="s">
        <v>295</v>
      </c>
      <c r="E1964" t="s">
        <v>264</v>
      </c>
      <c r="F1964" t="str">
        <f>"61.1908"</f>
        <v>61.1908</v>
      </c>
      <c r="G1964" s="8" t="s">
        <v>4004</v>
      </c>
    </row>
    <row r="1965" spans="1:7" ht="29" x14ac:dyDescent="0.35">
      <c r="A1965" t="str">
        <f>"60.0553"</f>
        <v>60.0553</v>
      </c>
      <c r="B1965" t="s">
        <v>4005</v>
      </c>
      <c r="C1965" s="8" t="s">
        <v>4006</v>
      </c>
      <c r="D1965" t="s">
        <v>295</v>
      </c>
      <c r="E1965" t="s">
        <v>264</v>
      </c>
      <c r="F1965" t="str">
        <f>"61.1909"</f>
        <v>61.1909</v>
      </c>
      <c r="G1965" s="8" t="s">
        <v>4007</v>
      </c>
    </row>
    <row r="1966" spans="1:7" ht="29" x14ac:dyDescent="0.35">
      <c r="A1966" t="str">
        <f>"60.0554"</f>
        <v>60.0554</v>
      </c>
      <c r="B1966" t="s">
        <v>4008</v>
      </c>
      <c r="C1966" s="8" t="s">
        <v>4009</v>
      </c>
      <c r="D1966" t="s">
        <v>295</v>
      </c>
      <c r="E1966" t="s">
        <v>264</v>
      </c>
      <c r="F1966" t="str">
        <f>"61.1910"</f>
        <v>61.1910</v>
      </c>
      <c r="G1966" s="8" t="s">
        <v>4010</v>
      </c>
    </row>
    <row r="1967" spans="1:7" ht="29" x14ac:dyDescent="0.35">
      <c r="A1967" t="str">
        <f>"60.0555"</f>
        <v>60.0555</v>
      </c>
      <c r="B1967" t="s">
        <v>4011</v>
      </c>
      <c r="C1967" s="8" t="s">
        <v>4012</v>
      </c>
      <c r="D1967" t="s">
        <v>295</v>
      </c>
      <c r="E1967" t="s">
        <v>264</v>
      </c>
      <c r="F1967" t="str">
        <f>"61.1911"</f>
        <v>61.1911</v>
      </c>
      <c r="G1967" s="8" t="s">
        <v>4013</v>
      </c>
    </row>
    <row r="1968" spans="1:7" ht="29" x14ac:dyDescent="0.35">
      <c r="A1968" t="str">
        <f>"60.0556"</f>
        <v>60.0556</v>
      </c>
      <c r="B1968" t="s">
        <v>4014</v>
      </c>
      <c r="C1968" s="8" t="s">
        <v>4015</v>
      </c>
      <c r="D1968" t="s">
        <v>295</v>
      </c>
      <c r="E1968" t="s">
        <v>264</v>
      </c>
      <c r="F1968" t="str">
        <f>"61.1912"</f>
        <v>61.1912</v>
      </c>
      <c r="G1968" s="8" t="s">
        <v>4016</v>
      </c>
    </row>
    <row r="1969" spans="1:7" x14ac:dyDescent="0.35">
      <c r="A1969" t="str">
        <f>"60.0557"</f>
        <v>60.0557</v>
      </c>
      <c r="B1969" t="s">
        <v>4017</v>
      </c>
      <c r="C1969" s="8" t="s">
        <v>4018</v>
      </c>
      <c r="D1969" t="s">
        <v>295</v>
      </c>
      <c r="E1969" t="s">
        <v>264</v>
      </c>
      <c r="F1969" t="str">
        <f>"61.1913"</f>
        <v>61.1913</v>
      </c>
      <c r="G1969" s="8" t="s">
        <v>4019</v>
      </c>
    </row>
    <row r="1970" spans="1:7" x14ac:dyDescent="0.35">
      <c r="A1970" t="str">
        <f>"60.0558"</f>
        <v>60.0558</v>
      </c>
      <c r="B1970" t="s">
        <v>4020</v>
      </c>
      <c r="C1970" s="8" t="s">
        <v>4021</v>
      </c>
      <c r="D1970" t="s">
        <v>295</v>
      </c>
      <c r="E1970" t="s">
        <v>264</v>
      </c>
      <c r="F1970" t="str">
        <f>"61.1505"</f>
        <v>61.1505</v>
      </c>
      <c r="G1970" s="8" t="s">
        <v>4022</v>
      </c>
    </row>
    <row r="1971" spans="1:7" ht="29" x14ac:dyDescent="0.35">
      <c r="A1971" t="str">
        <f>"60.0559"</f>
        <v>60.0559</v>
      </c>
      <c r="B1971" t="s">
        <v>4023</v>
      </c>
      <c r="C1971" s="8" t="s">
        <v>4024</v>
      </c>
      <c r="D1971" t="s">
        <v>295</v>
      </c>
      <c r="E1971" t="s">
        <v>264</v>
      </c>
      <c r="F1971" t="str">
        <f>"61.1703"</f>
        <v>61.1703</v>
      </c>
      <c r="G1971" s="8" t="s">
        <v>4025</v>
      </c>
    </row>
    <row r="1972" spans="1:7" x14ac:dyDescent="0.35">
      <c r="A1972" t="str">
        <f>"60.0560"</f>
        <v>60.0560</v>
      </c>
      <c r="B1972" t="s">
        <v>4026</v>
      </c>
      <c r="C1972" s="8" t="s">
        <v>4027</v>
      </c>
      <c r="D1972" t="s">
        <v>295</v>
      </c>
      <c r="E1972" t="s">
        <v>264</v>
      </c>
      <c r="F1972" t="str">
        <f>"61.1814"</f>
        <v>61.1814</v>
      </c>
      <c r="G1972" s="8" t="s">
        <v>4028</v>
      </c>
    </row>
    <row r="1973" spans="1:7" x14ac:dyDescent="0.35">
      <c r="A1973" t="str">
        <f>"60.0561"</f>
        <v>60.0561</v>
      </c>
      <c r="B1973" t="s">
        <v>4029</v>
      </c>
      <c r="C1973" s="8" t="s">
        <v>4030</v>
      </c>
      <c r="D1973" t="s">
        <v>295</v>
      </c>
      <c r="E1973" t="s">
        <v>264</v>
      </c>
      <c r="F1973" t="str">
        <f>"61.1914"</f>
        <v>61.1914</v>
      </c>
      <c r="G1973" s="8" t="s">
        <v>4031</v>
      </c>
    </row>
    <row r="1974" spans="1:7" x14ac:dyDescent="0.35">
      <c r="A1974" t="str">
        <f>"60.0562"</f>
        <v>60.0562</v>
      </c>
      <c r="B1974" t="s">
        <v>4032</v>
      </c>
      <c r="C1974" s="8" t="s">
        <v>4033</v>
      </c>
      <c r="D1974" t="s">
        <v>295</v>
      </c>
      <c r="E1974" t="s">
        <v>264</v>
      </c>
      <c r="F1974" t="str">
        <f>"61.2609"</f>
        <v>61.2609</v>
      </c>
      <c r="G1974" s="8" t="s">
        <v>4034</v>
      </c>
    </row>
    <row r="1975" spans="1:7" ht="29" x14ac:dyDescent="0.35">
      <c r="A1975" t="str">
        <f>"60.0563"</f>
        <v>60.0563</v>
      </c>
      <c r="B1975" t="s">
        <v>4035</v>
      </c>
      <c r="C1975" s="8" t="s">
        <v>4036</v>
      </c>
      <c r="D1975" t="s">
        <v>295</v>
      </c>
      <c r="E1975" t="s">
        <v>264</v>
      </c>
      <c r="F1975" t="str">
        <f>"61.2003"</f>
        <v>61.2003</v>
      </c>
      <c r="G1975" s="8" t="s">
        <v>4037</v>
      </c>
    </row>
    <row r="1976" spans="1:7" ht="29" x14ac:dyDescent="0.35">
      <c r="A1976" t="str">
        <f>"60.0564"</f>
        <v>60.0564</v>
      </c>
      <c r="B1976" t="s">
        <v>4038</v>
      </c>
      <c r="C1976" s="8" t="s">
        <v>4039</v>
      </c>
      <c r="D1976" t="s">
        <v>295</v>
      </c>
      <c r="E1976" t="s">
        <v>264</v>
      </c>
      <c r="F1976" t="str">
        <f>"61.1915"</f>
        <v>61.1915</v>
      </c>
      <c r="G1976" s="8" t="s">
        <v>4040</v>
      </c>
    </row>
    <row r="1977" spans="1:7" x14ac:dyDescent="0.35">
      <c r="A1977" t="str">
        <f>"60.0565"</f>
        <v>60.0565</v>
      </c>
      <c r="B1977" t="s">
        <v>4041</v>
      </c>
      <c r="C1977" s="8" t="s">
        <v>4042</v>
      </c>
      <c r="D1977" t="s">
        <v>295</v>
      </c>
      <c r="E1977" t="s">
        <v>264</v>
      </c>
      <c r="F1977" t="str">
        <f>"61.2705"</f>
        <v>61.2705</v>
      </c>
      <c r="G1977" s="8" t="s">
        <v>4043</v>
      </c>
    </row>
    <row r="1978" spans="1:7" ht="29" x14ac:dyDescent="0.35">
      <c r="A1978" t="str">
        <f>"60.0566"</f>
        <v>60.0566</v>
      </c>
      <c r="B1978" t="s">
        <v>4044</v>
      </c>
      <c r="C1978" s="8" t="s">
        <v>4045</v>
      </c>
      <c r="D1978" t="s">
        <v>295</v>
      </c>
      <c r="E1978" t="s">
        <v>264</v>
      </c>
      <c r="F1978" t="str">
        <f>"61.1917"</f>
        <v>61.1917</v>
      </c>
      <c r="G1978" s="8" t="s">
        <v>4046</v>
      </c>
    </row>
    <row r="1979" spans="1:7" x14ac:dyDescent="0.35">
      <c r="A1979" t="str">
        <f>"60.0567"</f>
        <v>60.0567</v>
      </c>
      <c r="B1979" t="s">
        <v>4047</v>
      </c>
      <c r="C1979" s="8" t="s">
        <v>4048</v>
      </c>
      <c r="D1979" t="s">
        <v>295</v>
      </c>
      <c r="E1979" t="s">
        <v>264</v>
      </c>
      <c r="F1979" t="str">
        <f>"61.2802"</f>
        <v>61.2802</v>
      </c>
      <c r="G1979" s="8" t="s">
        <v>4049</v>
      </c>
    </row>
    <row r="1980" spans="1:7" ht="43.5" x14ac:dyDescent="0.35">
      <c r="A1980" t="str">
        <f>"60.0568"</f>
        <v>60.0568</v>
      </c>
      <c r="B1980" t="s">
        <v>4050</v>
      </c>
      <c r="C1980" s="8" t="s">
        <v>4051</v>
      </c>
      <c r="D1980" t="s">
        <v>3787</v>
      </c>
      <c r="E1980" t="s">
        <v>251</v>
      </c>
      <c r="F1980" t="str">
        <f>"60.0568"</f>
        <v>60.0568</v>
      </c>
      <c r="G1980" s="8" t="s">
        <v>4052</v>
      </c>
    </row>
    <row r="1981" spans="1:7" ht="29" x14ac:dyDescent="0.35">
      <c r="A1981" t="str">
        <f>"60.0569"</f>
        <v>60.0569</v>
      </c>
      <c r="B1981" t="s">
        <v>4053</v>
      </c>
      <c r="C1981" s="8" t="s">
        <v>4054</v>
      </c>
      <c r="D1981" t="s">
        <v>295</v>
      </c>
      <c r="E1981" t="s">
        <v>264</v>
      </c>
      <c r="F1981" t="str">
        <f>"61.2103"</f>
        <v>61.2103</v>
      </c>
      <c r="G1981" s="8" t="s">
        <v>4055</v>
      </c>
    </row>
    <row r="1982" spans="1:7" ht="29" x14ac:dyDescent="0.35">
      <c r="A1982" t="str">
        <f>"60.0570"</f>
        <v>60.0570</v>
      </c>
      <c r="B1982" t="s">
        <v>4056</v>
      </c>
      <c r="C1982" s="8" t="s">
        <v>4057</v>
      </c>
      <c r="D1982" t="s">
        <v>295</v>
      </c>
      <c r="E1982" t="s">
        <v>264</v>
      </c>
      <c r="F1982" t="str">
        <f>"61.2404"</f>
        <v>61.2404</v>
      </c>
      <c r="G1982" s="8" t="s">
        <v>4058</v>
      </c>
    </row>
    <row r="1983" spans="1:7" x14ac:dyDescent="0.35">
      <c r="A1983" t="str">
        <f>"60.0571"</f>
        <v>60.0571</v>
      </c>
      <c r="B1983" t="s">
        <v>4059</v>
      </c>
      <c r="C1983" s="8" t="s">
        <v>4060</v>
      </c>
      <c r="D1983" t="s">
        <v>295</v>
      </c>
      <c r="E1983" t="s">
        <v>264</v>
      </c>
      <c r="F1983" t="str">
        <f>"61.0814"</f>
        <v>61.0814</v>
      </c>
      <c r="G1983" s="8" t="s">
        <v>4061</v>
      </c>
    </row>
    <row r="1984" spans="1:7" ht="29" x14ac:dyDescent="0.35">
      <c r="A1984" t="str">
        <f>"60.0572"</f>
        <v>60.0572</v>
      </c>
      <c r="B1984" t="s">
        <v>4062</v>
      </c>
      <c r="C1984" s="8" t="s">
        <v>4063</v>
      </c>
      <c r="D1984" t="s">
        <v>295</v>
      </c>
      <c r="E1984" t="s">
        <v>264</v>
      </c>
      <c r="F1984" t="str">
        <f>"61.1815"</f>
        <v>61.1815</v>
      </c>
      <c r="G1984" s="8" t="s">
        <v>4064</v>
      </c>
    </row>
    <row r="1985" spans="1:7" ht="29" x14ac:dyDescent="0.35">
      <c r="A1985" t="str">
        <f>"60.0573"</f>
        <v>60.0573</v>
      </c>
      <c r="B1985" t="s">
        <v>4065</v>
      </c>
      <c r="C1985" s="8" t="s">
        <v>4066</v>
      </c>
      <c r="D1985" t="s">
        <v>295</v>
      </c>
      <c r="E1985" t="s">
        <v>264</v>
      </c>
      <c r="F1985" t="str">
        <f>"61.1304"</f>
        <v>61.1304</v>
      </c>
      <c r="G1985" s="8" t="s">
        <v>4067</v>
      </c>
    </row>
    <row r="1986" spans="1:7" x14ac:dyDescent="0.35">
      <c r="A1986" t="str">
        <f>"60.0574"</f>
        <v>60.0574</v>
      </c>
      <c r="B1986" t="s">
        <v>4068</v>
      </c>
      <c r="C1986" s="8" t="s">
        <v>4069</v>
      </c>
      <c r="D1986" t="s">
        <v>295</v>
      </c>
      <c r="E1986" t="s">
        <v>264</v>
      </c>
      <c r="F1986" t="str">
        <f>"61.0816"</f>
        <v>61.0816</v>
      </c>
      <c r="G1986" s="8" t="s">
        <v>4070</v>
      </c>
    </row>
    <row r="1987" spans="1:7" x14ac:dyDescent="0.35">
      <c r="A1987" t="str">
        <f>"60.0575"</f>
        <v>60.0575</v>
      </c>
      <c r="B1987" t="s">
        <v>4071</v>
      </c>
      <c r="C1987" s="8" t="s">
        <v>4072</v>
      </c>
      <c r="D1987" t="s">
        <v>295</v>
      </c>
      <c r="E1987" t="s">
        <v>264</v>
      </c>
      <c r="F1987" t="str">
        <f>"61.0212"</f>
        <v>61.0212</v>
      </c>
      <c r="G1987" s="8" t="s">
        <v>4073</v>
      </c>
    </row>
    <row r="1988" spans="1:7" ht="29" x14ac:dyDescent="0.35">
      <c r="A1988" t="str">
        <f>"60.0576"</f>
        <v>60.0576</v>
      </c>
      <c r="B1988" t="s">
        <v>4074</v>
      </c>
      <c r="C1988" s="8" t="s">
        <v>4075</v>
      </c>
      <c r="D1988" t="s">
        <v>295</v>
      </c>
      <c r="E1988" t="s">
        <v>264</v>
      </c>
      <c r="F1988" t="str">
        <f>"61.2002"</f>
        <v>61.2002</v>
      </c>
      <c r="G1988" s="8" t="s">
        <v>4076</v>
      </c>
    </row>
    <row r="1989" spans="1:7" x14ac:dyDescent="0.35">
      <c r="A1989" t="str">
        <f>"60.0577"</f>
        <v>60.0577</v>
      </c>
      <c r="B1989" t="s">
        <v>4077</v>
      </c>
      <c r="C1989" s="8" t="s">
        <v>4078</v>
      </c>
      <c r="D1989" t="s">
        <v>295</v>
      </c>
      <c r="E1989" t="s">
        <v>264</v>
      </c>
      <c r="F1989" t="str">
        <f>"61.0213"</f>
        <v>61.0213</v>
      </c>
      <c r="G1989" s="8" t="s">
        <v>4079</v>
      </c>
    </row>
    <row r="1990" spans="1:7" x14ac:dyDescent="0.35">
      <c r="A1990" t="str">
        <f>"60.0578"</f>
        <v>60.0578</v>
      </c>
      <c r="B1990" t="s">
        <v>4080</v>
      </c>
      <c r="C1990" s="8" t="s">
        <v>4081</v>
      </c>
      <c r="D1990" t="s">
        <v>295</v>
      </c>
      <c r="E1990" t="s">
        <v>264</v>
      </c>
      <c r="F1990" t="str">
        <f>"61.0214"</f>
        <v>61.0214</v>
      </c>
      <c r="G1990" s="8" t="s">
        <v>4082</v>
      </c>
    </row>
    <row r="1991" spans="1:7" x14ac:dyDescent="0.35">
      <c r="A1991" t="str">
        <f>"60.0579"</f>
        <v>60.0579</v>
      </c>
      <c r="B1991" t="s">
        <v>4083</v>
      </c>
      <c r="C1991" s="8" t="s">
        <v>4084</v>
      </c>
      <c r="D1991" t="s">
        <v>295</v>
      </c>
      <c r="E1991" t="s">
        <v>264</v>
      </c>
      <c r="F1991" t="str">
        <f>"61.2706"</f>
        <v>61.2706</v>
      </c>
      <c r="G1991" s="8" t="s">
        <v>4085</v>
      </c>
    </row>
    <row r="1992" spans="1:7" ht="29" x14ac:dyDescent="0.35">
      <c r="A1992" t="str">
        <f>"60.0580"</f>
        <v>60.0580</v>
      </c>
      <c r="B1992" t="s">
        <v>4086</v>
      </c>
      <c r="C1992" s="8" t="s">
        <v>4087</v>
      </c>
      <c r="D1992" t="s">
        <v>295</v>
      </c>
      <c r="E1992" t="s">
        <v>251</v>
      </c>
      <c r="F1992" t="str">
        <f>"61.2611"</f>
        <v>61.2611</v>
      </c>
      <c r="G1992" s="8" t="s">
        <v>4087</v>
      </c>
    </row>
    <row r="1993" spans="1:7" ht="29" x14ac:dyDescent="0.35">
      <c r="A1993" t="str">
        <f>"60.0581"</f>
        <v>60.0581</v>
      </c>
      <c r="B1993" t="s">
        <v>4088</v>
      </c>
      <c r="C1993" s="8" t="s">
        <v>4089</v>
      </c>
      <c r="D1993" t="s">
        <v>295</v>
      </c>
      <c r="E1993" t="s">
        <v>264</v>
      </c>
      <c r="F1993" t="str">
        <f>"61.0818"</f>
        <v>61.0818</v>
      </c>
      <c r="G1993" s="8" t="s">
        <v>4090</v>
      </c>
    </row>
    <row r="1994" spans="1:7" ht="29" x14ac:dyDescent="0.35">
      <c r="A1994" t="str">
        <f>"60.0582"</f>
        <v>60.0582</v>
      </c>
      <c r="B1994" t="s">
        <v>4091</v>
      </c>
      <c r="C1994" s="8" t="s">
        <v>4092</v>
      </c>
      <c r="D1994" t="s">
        <v>295</v>
      </c>
      <c r="E1994" t="s">
        <v>264</v>
      </c>
      <c r="F1994" t="str">
        <f>"61.0216"</f>
        <v>61.0216</v>
      </c>
      <c r="G1994" s="8" t="s">
        <v>4093</v>
      </c>
    </row>
    <row r="1995" spans="1:7" ht="29" x14ac:dyDescent="0.35">
      <c r="A1995" t="str">
        <f>"60.0583"</f>
        <v>60.0583</v>
      </c>
      <c r="B1995" t="s">
        <v>4094</v>
      </c>
      <c r="C1995" s="8" t="s">
        <v>4095</v>
      </c>
      <c r="D1995" t="s">
        <v>295</v>
      </c>
      <c r="E1995" t="s">
        <v>264</v>
      </c>
      <c r="F1995" t="str">
        <f>"61.2612"</f>
        <v>61.2612</v>
      </c>
      <c r="G1995" s="8" t="s">
        <v>4096</v>
      </c>
    </row>
    <row r="1996" spans="1:7" x14ac:dyDescent="0.35">
      <c r="A1996" t="str">
        <f>"60.0584"</f>
        <v>60.0584</v>
      </c>
      <c r="B1996" t="s">
        <v>4097</v>
      </c>
      <c r="C1996" s="8" t="s">
        <v>4098</v>
      </c>
      <c r="D1996" t="s">
        <v>295</v>
      </c>
      <c r="E1996" t="s">
        <v>264</v>
      </c>
      <c r="F1996" t="str">
        <f>"61.1107"</f>
        <v>61.1107</v>
      </c>
      <c r="G1996" s="8" t="s">
        <v>4099</v>
      </c>
    </row>
    <row r="1997" spans="1:7" ht="29" x14ac:dyDescent="0.35">
      <c r="A1997" t="str">
        <f>"60.0599"</f>
        <v>60.0599</v>
      </c>
      <c r="B1997" t="s">
        <v>4100</v>
      </c>
      <c r="C1997" s="8" t="s">
        <v>4101</v>
      </c>
      <c r="D1997" t="s">
        <v>3787</v>
      </c>
      <c r="E1997" t="s">
        <v>251</v>
      </c>
      <c r="F1997" t="str">
        <f>"60.0599"</f>
        <v>60.0599</v>
      </c>
      <c r="G1997" s="8" t="s">
        <v>3851</v>
      </c>
    </row>
    <row r="1998" spans="1:7" ht="29" x14ac:dyDescent="0.35">
      <c r="A1998" t="str">
        <f>"60.0601"</f>
        <v>60.0601</v>
      </c>
      <c r="B1998" t="s">
        <v>4102</v>
      </c>
      <c r="C1998" s="8" t="s">
        <v>4103</v>
      </c>
      <c r="D1998" t="s">
        <v>3787</v>
      </c>
      <c r="E1998" t="s">
        <v>251</v>
      </c>
      <c r="F1998" t="str">
        <f>"60.0601"</f>
        <v>60.0601</v>
      </c>
      <c r="G1998" s="8" t="s">
        <v>4104</v>
      </c>
    </row>
    <row r="1999" spans="1:7" ht="29" x14ac:dyDescent="0.35">
      <c r="A1999" t="str">
        <f>"60.0602"</f>
        <v>60.0602</v>
      </c>
      <c r="B1999" t="s">
        <v>4105</v>
      </c>
      <c r="C1999" s="8" t="s">
        <v>4106</v>
      </c>
      <c r="D1999" t="s">
        <v>3787</v>
      </c>
      <c r="E1999" t="s">
        <v>251</v>
      </c>
      <c r="F1999" t="str">
        <f>"60.0602"</f>
        <v>60.0602</v>
      </c>
      <c r="G1999" s="8" t="s">
        <v>4104</v>
      </c>
    </row>
  </sheetData>
  <autoFilter ref="A3:G3" xr:uid="{00000000-0009-0000-0000-000002000000}"/>
  <hyperlinks>
    <hyperlink ref="A1"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97"/>
  <sheetViews>
    <sheetView workbookViewId="0">
      <selection activeCell="A18" sqref="A18"/>
    </sheetView>
  </sheetViews>
  <sheetFormatPr defaultRowHeight="14.5" x14ac:dyDescent="0.35"/>
  <cols>
    <col min="1" max="1" width="94.81640625" bestFit="1" customWidth="1"/>
  </cols>
  <sheetData>
    <row r="1" spans="1:1" x14ac:dyDescent="0.35">
      <c r="A1" t="s">
        <v>4107</v>
      </c>
    </row>
    <row r="2" spans="1:1" x14ac:dyDescent="0.35">
      <c r="A2" t="s">
        <v>4108</v>
      </c>
    </row>
    <row r="3" spans="1:1" x14ac:dyDescent="0.35">
      <c r="A3" t="s">
        <v>4109</v>
      </c>
    </row>
    <row r="4" spans="1:1" x14ac:dyDescent="0.35">
      <c r="A4" t="s">
        <v>4110</v>
      </c>
    </row>
    <row r="5" spans="1:1" x14ac:dyDescent="0.35">
      <c r="A5" t="s">
        <v>4111</v>
      </c>
    </row>
    <row r="6" spans="1:1" x14ac:dyDescent="0.35">
      <c r="A6" t="s">
        <v>4112</v>
      </c>
    </row>
    <row r="7" spans="1:1" x14ac:dyDescent="0.35">
      <c r="A7" t="s">
        <v>4113</v>
      </c>
    </row>
    <row r="8" spans="1:1" x14ac:dyDescent="0.35">
      <c r="A8" t="s">
        <v>4114</v>
      </c>
    </row>
    <row r="9" spans="1:1" x14ac:dyDescent="0.35">
      <c r="A9" t="s">
        <v>4115</v>
      </c>
    </row>
    <row r="10" spans="1:1" x14ac:dyDescent="0.35">
      <c r="A10" t="s">
        <v>4116</v>
      </c>
    </row>
    <row r="11" spans="1:1" x14ac:dyDescent="0.35">
      <c r="A11" t="s">
        <v>4117</v>
      </c>
    </row>
    <row r="12" spans="1:1" x14ac:dyDescent="0.35">
      <c r="A12" t="s">
        <v>4118</v>
      </c>
    </row>
    <row r="13" spans="1:1" x14ac:dyDescent="0.35">
      <c r="A13" t="s">
        <v>4119</v>
      </c>
    </row>
    <row r="14" spans="1:1" x14ac:dyDescent="0.35">
      <c r="A14" t="s">
        <v>4120</v>
      </c>
    </row>
    <row r="15" spans="1:1" x14ac:dyDescent="0.35">
      <c r="A15" t="s">
        <v>4121</v>
      </c>
    </row>
    <row r="16" spans="1:1" x14ac:dyDescent="0.35">
      <c r="A16" t="s">
        <v>4122</v>
      </c>
    </row>
    <row r="17" spans="1:1" x14ac:dyDescent="0.35">
      <c r="A17" t="s">
        <v>4123</v>
      </c>
    </row>
    <row r="18" spans="1:1" x14ac:dyDescent="0.35">
      <c r="A18" t="s">
        <v>4124</v>
      </c>
    </row>
    <row r="19" spans="1:1" x14ac:dyDescent="0.35">
      <c r="A19" t="s">
        <v>4125</v>
      </c>
    </row>
    <row r="20" spans="1:1" x14ac:dyDescent="0.35">
      <c r="A20" t="s">
        <v>4126</v>
      </c>
    </row>
    <row r="21" spans="1:1" x14ac:dyDescent="0.35">
      <c r="A21" t="s">
        <v>4127</v>
      </c>
    </row>
    <row r="22" spans="1:1" x14ac:dyDescent="0.35">
      <c r="A22" t="s">
        <v>4128</v>
      </c>
    </row>
    <row r="23" spans="1:1" x14ac:dyDescent="0.35">
      <c r="A23" t="s">
        <v>4129</v>
      </c>
    </row>
    <row r="24" spans="1:1" x14ac:dyDescent="0.35">
      <c r="A24" t="s">
        <v>4130</v>
      </c>
    </row>
    <row r="25" spans="1:1" x14ac:dyDescent="0.35">
      <c r="A25" t="s">
        <v>4131</v>
      </c>
    </row>
    <row r="26" spans="1:1" x14ac:dyDescent="0.35">
      <c r="A26" t="s">
        <v>4132</v>
      </c>
    </row>
    <row r="27" spans="1:1" x14ac:dyDescent="0.35">
      <c r="A27" t="s">
        <v>4133</v>
      </c>
    </row>
    <row r="28" spans="1:1" x14ac:dyDescent="0.35">
      <c r="A28" t="s">
        <v>4134</v>
      </c>
    </row>
    <row r="29" spans="1:1" x14ac:dyDescent="0.35">
      <c r="A29" t="s">
        <v>4135</v>
      </c>
    </row>
    <row r="30" spans="1:1" x14ac:dyDescent="0.35">
      <c r="A30" t="s">
        <v>4136</v>
      </c>
    </row>
    <row r="31" spans="1:1" x14ac:dyDescent="0.35">
      <c r="A31" t="s">
        <v>4137</v>
      </c>
    </row>
    <row r="32" spans="1:1" x14ac:dyDescent="0.35">
      <c r="A32" t="s">
        <v>4138</v>
      </c>
    </row>
    <row r="33" spans="1:1" x14ac:dyDescent="0.35">
      <c r="A33" t="s">
        <v>4139</v>
      </c>
    </row>
    <row r="34" spans="1:1" x14ac:dyDescent="0.35">
      <c r="A34" t="s">
        <v>4140</v>
      </c>
    </row>
    <row r="35" spans="1:1" x14ac:dyDescent="0.35">
      <c r="A35" t="s">
        <v>4141</v>
      </c>
    </row>
    <row r="36" spans="1:1" x14ac:dyDescent="0.35">
      <c r="A36" t="s">
        <v>4142</v>
      </c>
    </row>
    <row r="37" spans="1:1" x14ac:dyDescent="0.35">
      <c r="A37" t="s">
        <v>4143</v>
      </c>
    </row>
    <row r="38" spans="1:1" x14ac:dyDescent="0.35">
      <c r="A38" t="s">
        <v>4144</v>
      </c>
    </row>
    <row r="39" spans="1:1" x14ac:dyDescent="0.35">
      <c r="A39" t="s">
        <v>4145</v>
      </c>
    </row>
    <row r="40" spans="1:1" x14ac:dyDescent="0.35">
      <c r="A40" t="s">
        <v>4146</v>
      </c>
    </row>
    <row r="41" spans="1:1" x14ac:dyDescent="0.35">
      <c r="A41" t="s">
        <v>4147</v>
      </c>
    </row>
    <row r="42" spans="1:1" x14ac:dyDescent="0.35">
      <c r="A42" t="s">
        <v>4148</v>
      </c>
    </row>
    <row r="43" spans="1:1" x14ac:dyDescent="0.35">
      <c r="A43" t="s">
        <v>4149</v>
      </c>
    </row>
    <row r="44" spans="1:1" x14ac:dyDescent="0.35">
      <c r="A44" t="s">
        <v>4150</v>
      </c>
    </row>
    <row r="45" spans="1:1" x14ac:dyDescent="0.35">
      <c r="A45" t="s">
        <v>4151</v>
      </c>
    </row>
    <row r="46" spans="1:1" x14ac:dyDescent="0.35">
      <c r="A46" t="s">
        <v>4152</v>
      </c>
    </row>
    <row r="47" spans="1:1" x14ac:dyDescent="0.35">
      <c r="A47" t="s">
        <v>4153</v>
      </c>
    </row>
    <row r="48" spans="1:1" x14ac:dyDescent="0.35">
      <c r="A48" t="s">
        <v>4154</v>
      </c>
    </row>
    <row r="49" spans="1:1" x14ac:dyDescent="0.35">
      <c r="A49" t="s">
        <v>4155</v>
      </c>
    </row>
    <row r="50" spans="1:1" x14ac:dyDescent="0.35">
      <c r="A50" t="s">
        <v>4156</v>
      </c>
    </row>
    <row r="51" spans="1:1" x14ac:dyDescent="0.35">
      <c r="A51" t="s">
        <v>4157</v>
      </c>
    </row>
    <row r="52" spans="1:1" x14ac:dyDescent="0.35">
      <c r="A52" t="s">
        <v>4158</v>
      </c>
    </row>
    <row r="53" spans="1:1" x14ac:dyDescent="0.35">
      <c r="A53" t="s">
        <v>4159</v>
      </c>
    </row>
    <row r="54" spans="1:1" x14ac:dyDescent="0.35">
      <c r="A54" t="s">
        <v>4160</v>
      </c>
    </row>
    <row r="55" spans="1:1" x14ac:dyDescent="0.35">
      <c r="A55" t="s">
        <v>4161</v>
      </c>
    </row>
    <row r="56" spans="1:1" x14ac:dyDescent="0.35">
      <c r="A56" t="s">
        <v>4162</v>
      </c>
    </row>
    <row r="57" spans="1:1" x14ac:dyDescent="0.35">
      <c r="A57" t="s">
        <v>4163</v>
      </c>
    </row>
    <row r="58" spans="1:1" x14ac:dyDescent="0.35">
      <c r="A58" t="s">
        <v>4164</v>
      </c>
    </row>
    <row r="59" spans="1:1" x14ac:dyDescent="0.35">
      <c r="A59" t="s">
        <v>4165</v>
      </c>
    </row>
    <row r="60" spans="1:1" x14ac:dyDescent="0.35">
      <c r="A60" t="s">
        <v>4166</v>
      </c>
    </row>
    <row r="61" spans="1:1" x14ac:dyDescent="0.35">
      <c r="A61" t="s">
        <v>4167</v>
      </c>
    </row>
    <row r="62" spans="1:1" x14ac:dyDescent="0.35">
      <c r="A62" t="s">
        <v>4168</v>
      </c>
    </row>
    <row r="63" spans="1:1" x14ac:dyDescent="0.35">
      <c r="A63" t="s">
        <v>4169</v>
      </c>
    </row>
    <row r="64" spans="1:1" x14ac:dyDescent="0.35">
      <c r="A64" t="s">
        <v>4170</v>
      </c>
    </row>
    <row r="65" spans="1:1" x14ac:dyDescent="0.35">
      <c r="A65" t="s">
        <v>4171</v>
      </c>
    </row>
    <row r="66" spans="1:1" x14ac:dyDescent="0.35">
      <c r="A66" t="s">
        <v>4172</v>
      </c>
    </row>
    <row r="67" spans="1:1" x14ac:dyDescent="0.35">
      <c r="A67" t="s">
        <v>4173</v>
      </c>
    </row>
    <row r="68" spans="1:1" x14ac:dyDescent="0.35">
      <c r="A68" t="s">
        <v>4174</v>
      </c>
    </row>
    <row r="69" spans="1:1" x14ac:dyDescent="0.35">
      <c r="A69" t="s">
        <v>4175</v>
      </c>
    </row>
    <row r="70" spans="1:1" x14ac:dyDescent="0.35">
      <c r="A70" t="s">
        <v>4176</v>
      </c>
    </row>
    <row r="71" spans="1:1" x14ac:dyDescent="0.35">
      <c r="A71" t="s">
        <v>4177</v>
      </c>
    </row>
    <row r="72" spans="1:1" x14ac:dyDescent="0.35">
      <c r="A72" t="s">
        <v>4178</v>
      </c>
    </row>
    <row r="73" spans="1:1" x14ac:dyDescent="0.35">
      <c r="A73" t="s">
        <v>4179</v>
      </c>
    </row>
    <row r="74" spans="1:1" x14ac:dyDescent="0.35">
      <c r="A74" t="s">
        <v>4180</v>
      </c>
    </row>
    <row r="75" spans="1:1" x14ac:dyDescent="0.35">
      <c r="A75" t="s">
        <v>4181</v>
      </c>
    </row>
    <row r="76" spans="1:1" x14ac:dyDescent="0.35">
      <c r="A76" t="s">
        <v>4182</v>
      </c>
    </row>
    <row r="77" spans="1:1" x14ac:dyDescent="0.35">
      <c r="A77" t="s">
        <v>4183</v>
      </c>
    </row>
    <row r="78" spans="1:1" x14ac:dyDescent="0.35">
      <c r="A78" t="s">
        <v>4184</v>
      </c>
    </row>
    <row r="79" spans="1:1" x14ac:dyDescent="0.35">
      <c r="A79" t="s">
        <v>4185</v>
      </c>
    </row>
    <row r="80" spans="1:1" x14ac:dyDescent="0.35">
      <c r="A80" t="s">
        <v>4186</v>
      </c>
    </row>
    <row r="81" spans="1:1" x14ac:dyDescent="0.35">
      <c r="A81" t="s">
        <v>4187</v>
      </c>
    </row>
    <row r="82" spans="1:1" x14ac:dyDescent="0.35">
      <c r="A82" t="s">
        <v>4188</v>
      </c>
    </row>
    <row r="83" spans="1:1" x14ac:dyDescent="0.35">
      <c r="A83" t="s">
        <v>4189</v>
      </c>
    </row>
    <row r="84" spans="1:1" x14ac:dyDescent="0.35">
      <c r="A84" t="s">
        <v>4190</v>
      </c>
    </row>
    <row r="85" spans="1:1" x14ac:dyDescent="0.35">
      <c r="A85" t="s">
        <v>4191</v>
      </c>
    </row>
    <row r="86" spans="1:1" x14ac:dyDescent="0.35">
      <c r="A86" t="s">
        <v>4192</v>
      </c>
    </row>
    <row r="87" spans="1:1" x14ac:dyDescent="0.35">
      <c r="A87" t="s">
        <v>4193</v>
      </c>
    </row>
    <row r="88" spans="1:1" x14ac:dyDescent="0.35">
      <c r="A88" t="s">
        <v>4194</v>
      </c>
    </row>
    <row r="89" spans="1:1" x14ac:dyDescent="0.35">
      <c r="A89" t="s">
        <v>4195</v>
      </c>
    </row>
    <row r="90" spans="1:1" x14ac:dyDescent="0.35">
      <c r="A90" t="s">
        <v>4196</v>
      </c>
    </row>
    <row r="91" spans="1:1" x14ac:dyDescent="0.35">
      <c r="A91" t="s">
        <v>4197</v>
      </c>
    </row>
    <row r="92" spans="1:1" x14ac:dyDescent="0.35">
      <c r="A92" t="s">
        <v>4198</v>
      </c>
    </row>
    <row r="93" spans="1:1" x14ac:dyDescent="0.35">
      <c r="A93" t="s">
        <v>4199</v>
      </c>
    </row>
    <row r="94" spans="1:1" x14ac:dyDescent="0.35">
      <c r="A94" t="s">
        <v>4200</v>
      </c>
    </row>
    <row r="95" spans="1:1" x14ac:dyDescent="0.35">
      <c r="A95" t="s">
        <v>4201</v>
      </c>
    </row>
    <row r="96" spans="1:1" x14ac:dyDescent="0.35">
      <c r="A96" t="s">
        <v>4202</v>
      </c>
    </row>
    <row r="97" spans="1:1" x14ac:dyDescent="0.35">
      <c r="A97" t="s">
        <v>4203</v>
      </c>
    </row>
    <row r="98" spans="1:1" x14ac:dyDescent="0.35">
      <c r="A98" t="s">
        <v>4204</v>
      </c>
    </row>
    <row r="99" spans="1:1" x14ac:dyDescent="0.35">
      <c r="A99" t="s">
        <v>4205</v>
      </c>
    </row>
    <row r="100" spans="1:1" x14ac:dyDescent="0.35">
      <c r="A100" t="s">
        <v>4206</v>
      </c>
    </row>
    <row r="101" spans="1:1" x14ac:dyDescent="0.35">
      <c r="A101" t="s">
        <v>4207</v>
      </c>
    </row>
    <row r="102" spans="1:1" x14ac:dyDescent="0.35">
      <c r="A102" t="s">
        <v>4208</v>
      </c>
    </row>
    <row r="103" spans="1:1" x14ac:dyDescent="0.35">
      <c r="A103" t="s">
        <v>4209</v>
      </c>
    </row>
    <row r="104" spans="1:1" x14ac:dyDescent="0.35">
      <c r="A104" t="s">
        <v>4210</v>
      </c>
    </row>
    <row r="105" spans="1:1" x14ac:dyDescent="0.35">
      <c r="A105" t="s">
        <v>4211</v>
      </c>
    </row>
    <row r="106" spans="1:1" x14ac:dyDescent="0.35">
      <c r="A106" t="s">
        <v>4212</v>
      </c>
    </row>
    <row r="107" spans="1:1" x14ac:dyDescent="0.35">
      <c r="A107" t="s">
        <v>4213</v>
      </c>
    </row>
    <row r="108" spans="1:1" x14ac:dyDescent="0.35">
      <c r="A108" t="s">
        <v>4214</v>
      </c>
    </row>
    <row r="109" spans="1:1" x14ac:dyDescent="0.35">
      <c r="A109" t="s">
        <v>4215</v>
      </c>
    </row>
    <row r="110" spans="1:1" x14ac:dyDescent="0.35">
      <c r="A110" t="s">
        <v>4216</v>
      </c>
    </row>
    <row r="111" spans="1:1" x14ac:dyDescent="0.35">
      <c r="A111" t="s">
        <v>4217</v>
      </c>
    </row>
    <row r="112" spans="1:1" x14ac:dyDescent="0.35">
      <c r="A112" t="s">
        <v>4218</v>
      </c>
    </row>
    <row r="113" spans="1:1" x14ac:dyDescent="0.35">
      <c r="A113" t="s">
        <v>4219</v>
      </c>
    </row>
    <row r="114" spans="1:1" x14ac:dyDescent="0.35">
      <c r="A114" t="s">
        <v>4220</v>
      </c>
    </row>
    <row r="115" spans="1:1" x14ac:dyDescent="0.35">
      <c r="A115" t="s">
        <v>4221</v>
      </c>
    </row>
    <row r="116" spans="1:1" x14ac:dyDescent="0.35">
      <c r="A116" t="s">
        <v>4222</v>
      </c>
    </row>
    <row r="117" spans="1:1" x14ac:dyDescent="0.35">
      <c r="A117" t="s">
        <v>4223</v>
      </c>
    </row>
    <row r="118" spans="1:1" x14ac:dyDescent="0.35">
      <c r="A118" t="s">
        <v>4224</v>
      </c>
    </row>
    <row r="119" spans="1:1" x14ac:dyDescent="0.35">
      <c r="A119" t="s">
        <v>4225</v>
      </c>
    </row>
    <row r="120" spans="1:1" x14ac:dyDescent="0.35">
      <c r="A120" t="s">
        <v>4226</v>
      </c>
    </row>
    <row r="121" spans="1:1" x14ac:dyDescent="0.35">
      <c r="A121" t="s">
        <v>4227</v>
      </c>
    </row>
    <row r="122" spans="1:1" x14ac:dyDescent="0.35">
      <c r="A122" t="s">
        <v>4228</v>
      </c>
    </row>
    <row r="123" spans="1:1" x14ac:dyDescent="0.35">
      <c r="A123" t="s">
        <v>4229</v>
      </c>
    </row>
    <row r="124" spans="1:1" x14ac:dyDescent="0.35">
      <c r="A124" t="s">
        <v>4230</v>
      </c>
    </row>
    <row r="125" spans="1:1" x14ac:dyDescent="0.35">
      <c r="A125" t="s">
        <v>4231</v>
      </c>
    </row>
    <row r="126" spans="1:1" x14ac:dyDescent="0.35">
      <c r="A126" t="s">
        <v>4232</v>
      </c>
    </row>
    <row r="127" spans="1:1" x14ac:dyDescent="0.35">
      <c r="A127" t="s">
        <v>4233</v>
      </c>
    </row>
    <row r="128" spans="1:1" x14ac:dyDescent="0.35">
      <c r="A128" t="s">
        <v>4234</v>
      </c>
    </row>
    <row r="129" spans="1:1" x14ac:dyDescent="0.35">
      <c r="A129" t="s">
        <v>4235</v>
      </c>
    </row>
    <row r="130" spans="1:1" x14ac:dyDescent="0.35">
      <c r="A130" t="s">
        <v>4236</v>
      </c>
    </row>
    <row r="131" spans="1:1" x14ac:dyDescent="0.35">
      <c r="A131" t="s">
        <v>4237</v>
      </c>
    </row>
    <row r="132" spans="1:1" x14ac:dyDescent="0.35">
      <c r="A132" t="s">
        <v>4238</v>
      </c>
    </row>
    <row r="133" spans="1:1" x14ac:dyDescent="0.35">
      <c r="A133" t="s">
        <v>4239</v>
      </c>
    </row>
    <row r="134" spans="1:1" x14ac:dyDescent="0.35">
      <c r="A134" t="s">
        <v>4240</v>
      </c>
    </row>
    <row r="135" spans="1:1" x14ac:dyDescent="0.35">
      <c r="A135" t="s">
        <v>4241</v>
      </c>
    </row>
    <row r="136" spans="1:1" x14ac:dyDescent="0.35">
      <c r="A136" t="s">
        <v>4242</v>
      </c>
    </row>
    <row r="137" spans="1:1" x14ac:dyDescent="0.35">
      <c r="A137" t="s">
        <v>4243</v>
      </c>
    </row>
    <row r="138" spans="1:1" x14ac:dyDescent="0.35">
      <c r="A138" t="s">
        <v>4244</v>
      </c>
    </row>
    <row r="139" spans="1:1" x14ac:dyDescent="0.35">
      <c r="A139" t="s">
        <v>4245</v>
      </c>
    </row>
    <row r="140" spans="1:1" x14ac:dyDescent="0.35">
      <c r="A140" t="s">
        <v>4246</v>
      </c>
    </row>
    <row r="141" spans="1:1" x14ac:dyDescent="0.35">
      <c r="A141" t="s">
        <v>4247</v>
      </c>
    </row>
    <row r="142" spans="1:1" x14ac:dyDescent="0.35">
      <c r="A142" t="s">
        <v>4248</v>
      </c>
    </row>
    <row r="143" spans="1:1" x14ac:dyDescent="0.35">
      <c r="A143" t="s">
        <v>4249</v>
      </c>
    </row>
    <row r="144" spans="1:1" x14ac:dyDescent="0.35">
      <c r="A144" t="s">
        <v>4250</v>
      </c>
    </row>
    <row r="145" spans="1:1" x14ac:dyDescent="0.35">
      <c r="A145" t="s">
        <v>4251</v>
      </c>
    </row>
    <row r="146" spans="1:1" x14ac:dyDescent="0.35">
      <c r="A146" t="s">
        <v>4252</v>
      </c>
    </row>
    <row r="147" spans="1:1" x14ac:dyDescent="0.35">
      <c r="A147" t="s">
        <v>4253</v>
      </c>
    </row>
    <row r="148" spans="1:1" x14ac:dyDescent="0.35">
      <c r="A148" t="s">
        <v>4254</v>
      </c>
    </row>
    <row r="149" spans="1:1" x14ac:dyDescent="0.35">
      <c r="A149" t="s">
        <v>4255</v>
      </c>
    </row>
    <row r="150" spans="1:1" x14ac:dyDescent="0.35">
      <c r="A150" t="s">
        <v>4256</v>
      </c>
    </row>
    <row r="151" spans="1:1" x14ac:dyDescent="0.35">
      <c r="A151" t="s">
        <v>4257</v>
      </c>
    </row>
    <row r="152" spans="1:1" x14ac:dyDescent="0.35">
      <c r="A152" t="s">
        <v>4258</v>
      </c>
    </row>
    <row r="153" spans="1:1" x14ac:dyDescent="0.35">
      <c r="A153" t="s">
        <v>4259</v>
      </c>
    </row>
    <row r="154" spans="1:1" x14ac:dyDescent="0.35">
      <c r="A154" t="s">
        <v>4260</v>
      </c>
    </row>
    <row r="155" spans="1:1" x14ac:dyDescent="0.35">
      <c r="A155" t="s">
        <v>4261</v>
      </c>
    </row>
    <row r="156" spans="1:1" x14ac:dyDescent="0.35">
      <c r="A156" t="s">
        <v>4262</v>
      </c>
    </row>
    <row r="157" spans="1:1" x14ac:dyDescent="0.35">
      <c r="A157" t="s">
        <v>4263</v>
      </c>
    </row>
    <row r="158" spans="1:1" x14ac:dyDescent="0.35">
      <c r="A158" t="s">
        <v>4264</v>
      </c>
    </row>
    <row r="159" spans="1:1" x14ac:dyDescent="0.35">
      <c r="A159" t="s">
        <v>4265</v>
      </c>
    </row>
    <row r="160" spans="1:1" x14ac:dyDescent="0.35">
      <c r="A160" t="s">
        <v>4266</v>
      </c>
    </row>
    <row r="161" spans="1:1" x14ac:dyDescent="0.35">
      <c r="A161" t="s">
        <v>4267</v>
      </c>
    </row>
    <row r="162" spans="1:1" x14ac:dyDescent="0.35">
      <c r="A162" t="s">
        <v>4268</v>
      </c>
    </row>
    <row r="163" spans="1:1" x14ac:dyDescent="0.35">
      <c r="A163" t="s">
        <v>4269</v>
      </c>
    </row>
    <row r="164" spans="1:1" x14ac:dyDescent="0.35">
      <c r="A164" t="s">
        <v>4270</v>
      </c>
    </row>
    <row r="165" spans="1:1" x14ac:dyDescent="0.35">
      <c r="A165" t="s">
        <v>4271</v>
      </c>
    </row>
    <row r="166" spans="1:1" x14ac:dyDescent="0.35">
      <c r="A166" t="s">
        <v>4272</v>
      </c>
    </row>
    <row r="167" spans="1:1" x14ac:dyDescent="0.35">
      <c r="A167" t="s">
        <v>4273</v>
      </c>
    </row>
    <row r="168" spans="1:1" x14ac:dyDescent="0.35">
      <c r="A168" t="s">
        <v>4274</v>
      </c>
    </row>
    <row r="169" spans="1:1" x14ac:dyDescent="0.35">
      <c r="A169" t="s">
        <v>4275</v>
      </c>
    </row>
    <row r="170" spans="1:1" x14ac:dyDescent="0.35">
      <c r="A170" t="s">
        <v>4276</v>
      </c>
    </row>
    <row r="171" spans="1:1" x14ac:dyDescent="0.35">
      <c r="A171" t="s">
        <v>4277</v>
      </c>
    </row>
    <row r="172" spans="1:1" x14ac:dyDescent="0.35">
      <c r="A172" t="s">
        <v>4278</v>
      </c>
    </row>
    <row r="173" spans="1:1" x14ac:dyDescent="0.35">
      <c r="A173" t="s">
        <v>4279</v>
      </c>
    </row>
    <row r="174" spans="1:1" x14ac:dyDescent="0.35">
      <c r="A174" t="s">
        <v>4280</v>
      </c>
    </row>
    <row r="175" spans="1:1" x14ac:dyDescent="0.35">
      <c r="A175" t="s">
        <v>4281</v>
      </c>
    </row>
    <row r="176" spans="1:1" x14ac:dyDescent="0.35">
      <c r="A176" t="s">
        <v>4282</v>
      </c>
    </row>
    <row r="177" spans="1:1" x14ac:dyDescent="0.35">
      <c r="A177" t="s">
        <v>4283</v>
      </c>
    </row>
    <row r="178" spans="1:1" x14ac:dyDescent="0.35">
      <c r="A178" t="s">
        <v>4284</v>
      </c>
    </row>
    <row r="179" spans="1:1" x14ac:dyDescent="0.35">
      <c r="A179" t="s">
        <v>4285</v>
      </c>
    </row>
    <row r="180" spans="1:1" x14ac:dyDescent="0.35">
      <c r="A180" t="s">
        <v>4286</v>
      </c>
    </row>
    <row r="181" spans="1:1" x14ac:dyDescent="0.35">
      <c r="A181" t="s">
        <v>4287</v>
      </c>
    </row>
    <row r="182" spans="1:1" x14ac:dyDescent="0.35">
      <c r="A182" t="s">
        <v>4288</v>
      </c>
    </row>
    <row r="183" spans="1:1" x14ac:dyDescent="0.35">
      <c r="A183" t="s">
        <v>4289</v>
      </c>
    </row>
    <row r="184" spans="1:1" x14ac:dyDescent="0.35">
      <c r="A184" t="s">
        <v>4290</v>
      </c>
    </row>
    <row r="185" spans="1:1" x14ac:dyDescent="0.35">
      <c r="A185" t="s">
        <v>4291</v>
      </c>
    </row>
    <row r="186" spans="1:1" x14ac:dyDescent="0.35">
      <c r="A186" t="s">
        <v>4292</v>
      </c>
    </row>
    <row r="187" spans="1:1" x14ac:dyDescent="0.35">
      <c r="A187" t="s">
        <v>4293</v>
      </c>
    </row>
    <row r="188" spans="1:1" x14ac:dyDescent="0.35">
      <c r="A188" t="s">
        <v>4294</v>
      </c>
    </row>
    <row r="189" spans="1:1" x14ac:dyDescent="0.35">
      <c r="A189" t="s">
        <v>4295</v>
      </c>
    </row>
    <row r="190" spans="1:1" x14ac:dyDescent="0.35">
      <c r="A190" t="s">
        <v>4296</v>
      </c>
    </row>
    <row r="191" spans="1:1" x14ac:dyDescent="0.35">
      <c r="A191" t="s">
        <v>4297</v>
      </c>
    </row>
    <row r="192" spans="1:1" x14ac:dyDescent="0.35">
      <c r="A192" t="s">
        <v>4298</v>
      </c>
    </row>
    <row r="193" spans="1:1" x14ac:dyDescent="0.35">
      <c r="A193" t="s">
        <v>4299</v>
      </c>
    </row>
    <row r="194" spans="1:1" x14ac:dyDescent="0.35">
      <c r="A194" t="s">
        <v>4300</v>
      </c>
    </row>
    <row r="195" spans="1:1" x14ac:dyDescent="0.35">
      <c r="A195" t="s">
        <v>4301</v>
      </c>
    </row>
    <row r="196" spans="1:1" x14ac:dyDescent="0.35">
      <c r="A196" t="s">
        <v>4302</v>
      </c>
    </row>
    <row r="197" spans="1:1" x14ac:dyDescent="0.35">
      <c r="A197" t="s">
        <v>4303</v>
      </c>
    </row>
    <row r="198" spans="1:1" x14ac:dyDescent="0.35">
      <c r="A198" t="s">
        <v>4304</v>
      </c>
    </row>
    <row r="199" spans="1:1" x14ac:dyDescent="0.35">
      <c r="A199" t="s">
        <v>4305</v>
      </c>
    </row>
    <row r="200" spans="1:1" x14ac:dyDescent="0.35">
      <c r="A200" t="s">
        <v>4306</v>
      </c>
    </row>
    <row r="201" spans="1:1" x14ac:dyDescent="0.35">
      <c r="A201" t="s">
        <v>4307</v>
      </c>
    </row>
    <row r="202" spans="1:1" x14ac:dyDescent="0.35">
      <c r="A202" t="s">
        <v>4308</v>
      </c>
    </row>
    <row r="203" spans="1:1" x14ac:dyDescent="0.35">
      <c r="A203" t="s">
        <v>4309</v>
      </c>
    </row>
    <row r="204" spans="1:1" x14ac:dyDescent="0.35">
      <c r="A204" t="s">
        <v>4310</v>
      </c>
    </row>
    <row r="205" spans="1:1" x14ac:dyDescent="0.35">
      <c r="A205" t="s">
        <v>4311</v>
      </c>
    </row>
    <row r="206" spans="1:1" x14ac:dyDescent="0.35">
      <c r="A206" t="s">
        <v>4312</v>
      </c>
    </row>
    <row r="207" spans="1:1" x14ac:dyDescent="0.35">
      <c r="A207" t="s">
        <v>4313</v>
      </c>
    </row>
    <row r="208" spans="1:1" x14ac:dyDescent="0.35">
      <c r="A208" t="s">
        <v>4314</v>
      </c>
    </row>
    <row r="209" spans="1:1" x14ac:dyDescent="0.35">
      <c r="A209" t="s">
        <v>4315</v>
      </c>
    </row>
    <row r="210" spans="1:1" x14ac:dyDescent="0.35">
      <c r="A210" t="s">
        <v>4316</v>
      </c>
    </row>
    <row r="211" spans="1:1" x14ac:dyDescent="0.35">
      <c r="A211" t="s">
        <v>4317</v>
      </c>
    </row>
    <row r="212" spans="1:1" x14ac:dyDescent="0.35">
      <c r="A212" t="s">
        <v>4318</v>
      </c>
    </row>
    <row r="213" spans="1:1" x14ac:dyDescent="0.35">
      <c r="A213" t="s">
        <v>4319</v>
      </c>
    </row>
    <row r="214" spans="1:1" x14ac:dyDescent="0.35">
      <c r="A214" t="s">
        <v>4320</v>
      </c>
    </row>
    <row r="215" spans="1:1" x14ac:dyDescent="0.35">
      <c r="A215" t="s">
        <v>4321</v>
      </c>
    </row>
    <row r="216" spans="1:1" x14ac:dyDescent="0.35">
      <c r="A216" t="s">
        <v>4322</v>
      </c>
    </row>
    <row r="217" spans="1:1" x14ac:dyDescent="0.35">
      <c r="A217" t="s">
        <v>4323</v>
      </c>
    </row>
    <row r="218" spans="1:1" x14ac:dyDescent="0.35">
      <c r="A218" t="s">
        <v>4324</v>
      </c>
    </row>
    <row r="219" spans="1:1" x14ac:dyDescent="0.35">
      <c r="A219" t="s">
        <v>4325</v>
      </c>
    </row>
    <row r="220" spans="1:1" x14ac:dyDescent="0.35">
      <c r="A220" t="s">
        <v>4326</v>
      </c>
    </row>
    <row r="221" spans="1:1" x14ac:dyDescent="0.35">
      <c r="A221" t="s">
        <v>4327</v>
      </c>
    </row>
    <row r="222" spans="1:1" x14ac:dyDescent="0.35">
      <c r="A222" t="s">
        <v>4328</v>
      </c>
    </row>
    <row r="223" spans="1:1" x14ac:dyDescent="0.35">
      <c r="A223" t="s">
        <v>4329</v>
      </c>
    </row>
    <row r="224" spans="1:1" x14ac:dyDescent="0.35">
      <c r="A224" t="s">
        <v>4330</v>
      </c>
    </row>
    <row r="225" spans="1:1" x14ac:dyDescent="0.35">
      <c r="A225" t="s">
        <v>4331</v>
      </c>
    </row>
    <row r="226" spans="1:1" x14ac:dyDescent="0.35">
      <c r="A226" t="s">
        <v>4332</v>
      </c>
    </row>
    <row r="227" spans="1:1" x14ac:dyDescent="0.35">
      <c r="A227" t="s">
        <v>4333</v>
      </c>
    </row>
    <row r="228" spans="1:1" x14ac:dyDescent="0.35">
      <c r="A228" t="s">
        <v>4334</v>
      </c>
    </row>
    <row r="229" spans="1:1" x14ac:dyDescent="0.35">
      <c r="A229" t="s">
        <v>4335</v>
      </c>
    </row>
    <row r="230" spans="1:1" x14ac:dyDescent="0.35">
      <c r="A230" t="s">
        <v>4336</v>
      </c>
    </row>
    <row r="231" spans="1:1" x14ac:dyDescent="0.35">
      <c r="A231" t="s">
        <v>4337</v>
      </c>
    </row>
    <row r="232" spans="1:1" x14ac:dyDescent="0.35">
      <c r="A232" t="s">
        <v>4338</v>
      </c>
    </row>
    <row r="233" spans="1:1" x14ac:dyDescent="0.35">
      <c r="A233" t="s">
        <v>4339</v>
      </c>
    </row>
    <row r="234" spans="1:1" x14ac:dyDescent="0.35">
      <c r="A234" t="s">
        <v>4340</v>
      </c>
    </row>
    <row r="235" spans="1:1" x14ac:dyDescent="0.35">
      <c r="A235" t="s">
        <v>4341</v>
      </c>
    </row>
    <row r="236" spans="1:1" x14ac:dyDescent="0.35">
      <c r="A236" t="s">
        <v>4342</v>
      </c>
    </row>
    <row r="237" spans="1:1" x14ac:dyDescent="0.35">
      <c r="A237" t="s">
        <v>4343</v>
      </c>
    </row>
    <row r="238" spans="1:1" x14ac:dyDescent="0.35">
      <c r="A238" t="s">
        <v>4344</v>
      </c>
    </row>
    <row r="239" spans="1:1" x14ac:dyDescent="0.35">
      <c r="A239" t="s">
        <v>4345</v>
      </c>
    </row>
    <row r="240" spans="1:1" x14ac:dyDescent="0.35">
      <c r="A240" t="s">
        <v>4346</v>
      </c>
    </row>
    <row r="241" spans="1:1" x14ac:dyDescent="0.35">
      <c r="A241" t="s">
        <v>4347</v>
      </c>
    </row>
    <row r="242" spans="1:1" x14ac:dyDescent="0.35">
      <c r="A242" t="s">
        <v>4348</v>
      </c>
    </row>
    <row r="243" spans="1:1" x14ac:dyDescent="0.35">
      <c r="A243" t="s">
        <v>4349</v>
      </c>
    </row>
    <row r="244" spans="1:1" x14ac:dyDescent="0.35">
      <c r="A244" t="s">
        <v>4350</v>
      </c>
    </row>
    <row r="245" spans="1:1" x14ac:dyDescent="0.35">
      <c r="A245" t="s">
        <v>4351</v>
      </c>
    </row>
    <row r="246" spans="1:1" x14ac:dyDescent="0.35">
      <c r="A246" t="s">
        <v>4352</v>
      </c>
    </row>
    <row r="247" spans="1:1" x14ac:dyDescent="0.35">
      <c r="A247" t="s">
        <v>4353</v>
      </c>
    </row>
    <row r="248" spans="1:1" x14ac:dyDescent="0.35">
      <c r="A248" t="s">
        <v>4354</v>
      </c>
    </row>
    <row r="249" spans="1:1" x14ac:dyDescent="0.35">
      <c r="A249" t="s">
        <v>4355</v>
      </c>
    </row>
    <row r="250" spans="1:1" x14ac:dyDescent="0.35">
      <c r="A250" t="s">
        <v>4356</v>
      </c>
    </row>
    <row r="251" spans="1:1" x14ac:dyDescent="0.35">
      <c r="A251" t="s">
        <v>4357</v>
      </c>
    </row>
    <row r="252" spans="1:1" x14ac:dyDescent="0.35">
      <c r="A252" t="s">
        <v>4358</v>
      </c>
    </row>
    <row r="253" spans="1:1" x14ac:dyDescent="0.35">
      <c r="A253" t="s">
        <v>4359</v>
      </c>
    </row>
    <row r="254" spans="1:1" x14ac:dyDescent="0.35">
      <c r="A254" t="s">
        <v>4360</v>
      </c>
    </row>
    <row r="255" spans="1:1" x14ac:dyDescent="0.35">
      <c r="A255" t="s">
        <v>4361</v>
      </c>
    </row>
    <row r="256" spans="1:1" x14ac:dyDescent="0.35">
      <c r="A256" t="s">
        <v>4362</v>
      </c>
    </row>
    <row r="257" spans="1:1" x14ac:dyDescent="0.35">
      <c r="A257" t="s">
        <v>4363</v>
      </c>
    </row>
    <row r="258" spans="1:1" x14ac:dyDescent="0.35">
      <c r="A258" t="s">
        <v>4364</v>
      </c>
    </row>
    <row r="259" spans="1:1" x14ac:dyDescent="0.35">
      <c r="A259" t="s">
        <v>4365</v>
      </c>
    </row>
    <row r="260" spans="1:1" x14ac:dyDescent="0.35">
      <c r="A260" t="s">
        <v>4366</v>
      </c>
    </row>
    <row r="261" spans="1:1" x14ac:dyDescent="0.35">
      <c r="A261" t="s">
        <v>4367</v>
      </c>
    </row>
    <row r="262" spans="1:1" x14ac:dyDescent="0.35">
      <c r="A262" t="s">
        <v>4368</v>
      </c>
    </row>
    <row r="263" spans="1:1" x14ac:dyDescent="0.35">
      <c r="A263" t="s">
        <v>4369</v>
      </c>
    </row>
    <row r="264" spans="1:1" x14ac:dyDescent="0.35">
      <c r="A264" t="s">
        <v>4370</v>
      </c>
    </row>
    <row r="265" spans="1:1" x14ac:dyDescent="0.35">
      <c r="A265" t="s">
        <v>4371</v>
      </c>
    </row>
    <row r="266" spans="1:1" x14ac:dyDescent="0.35">
      <c r="A266" t="s">
        <v>4372</v>
      </c>
    </row>
    <row r="267" spans="1:1" x14ac:dyDescent="0.35">
      <c r="A267" t="s">
        <v>4373</v>
      </c>
    </row>
    <row r="268" spans="1:1" x14ac:dyDescent="0.35">
      <c r="A268" t="s">
        <v>4374</v>
      </c>
    </row>
    <row r="269" spans="1:1" x14ac:dyDescent="0.35">
      <c r="A269" t="s">
        <v>4375</v>
      </c>
    </row>
    <row r="270" spans="1:1" x14ac:dyDescent="0.35">
      <c r="A270" t="s">
        <v>4376</v>
      </c>
    </row>
    <row r="271" spans="1:1" x14ac:dyDescent="0.35">
      <c r="A271" t="s">
        <v>4377</v>
      </c>
    </row>
    <row r="272" spans="1:1" x14ac:dyDescent="0.35">
      <c r="A272" t="s">
        <v>4378</v>
      </c>
    </row>
    <row r="273" spans="1:1" x14ac:dyDescent="0.35">
      <c r="A273" t="s">
        <v>4379</v>
      </c>
    </row>
    <row r="274" spans="1:1" x14ac:dyDescent="0.35">
      <c r="A274" t="s">
        <v>4380</v>
      </c>
    </row>
    <row r="275" spans="1:1" x14ac:dyDescent="0.35">
      <c r="A275" t="s">
        <v>4381</v>
      </c>
    </row>
    <row r="276" spans="1:1" x14ac:dyDescent="0.35">
      <c r="A276" t="s">
        <v>4382</v>
      </c>
    </row>
    <row r="277" spans="1:1" x14ac:dyDescent="0.35">
      <c r="A277" t="s">
        <v>4383</v>
      </c>
    </row>
    <row r="278" spans="1:1" x14ac:dyDescent="0.35">
      <c r="A278" t="s">
        <v>4384</v>
      </c>
    </row>
    <row r="279" spans="1:1" x14ac:dyDescent="0.35">
      <c r="A279" t="s">
        <v>4385</v>
      </c>
    </row>
    <row r="280" spans="1:1" x14ac:dyDescent="0.35">
      <c r="A280" t="s">
        <v>4386</v>
      </c>
    </row>
    <row r="281" spans="1:1" x14ac:dyDescent="0.35">
      <c r="A281" t="s">
        <v>4387</v>
      </c>
    </row>
    <row r="282" spans="1:1" x14ac:dyDescent="0.35">
      <c r="A282" t="s">
        <v>4388</v>
      </c>
    </row>
    <row r="283" spans="1:1" x14ac:dyDescent="0.35">
      <c r="A283" t="s">
        <v>4389</v>
      </c>
    </row>
    <row r="284" spans="1:1" x14ac:dyDescent="0.35">
      <c r="A284" t="s">
        <v>4390</v>
      </c>
    </row>
    <row r="285" spans="1:1" x14ac:dyDescent="0.35">
      <c r="A285" t="s">
        <v>4391</v>
      </c>
    </row>
    <row r="286" spans="1:1" x14ac:dyDescent="0.35">
      <c r="A286" t="s">
        <v>4392</v>
      </c>
    </row>
    <row r="287" spans="1:1" x14ac:dyDescent="0.35">
      <c r="A287" t="s">
        <v>4393</v>
      </c>
    </row>
    <row r="288" spans="1:1" x14ac:dyDescent="0.35">
      <c r="A288" t="s">
        <v>4394</v>
      </c>
    </row>
    <row r="289" spans="1:1" x14ac:dyDescent="0.35">
      <c r="A289" t="s">
        <v>4395</v>
      </c>
    </row>
    <row r="290" spans="1:1" x14ac:dyDescent="0.35">
      <c r="A290" t="s">
        <v>4396</v>
      </c>
    </row>
    <row r="291" spans="1:1" x14ac:dyDescent="0.35">
      <c r="A291" t="s">
        <v>4397</v>
      </c>
    </row>
    <row r="292" spans="1:1" x14ac:dyDescent="0.35">
      <c r="A292" t="s">
        <v>4398</v>
      </c>
    </row>
    <row r="293" spans="1:1" x14ac:dyDescent="0.35">
      <c r="A293" t="s">
        <v>4399</v>
      </c>
    </row>
    <row r="294" spans="1:1" x14ac:dyDescent="0.35">
      <c r="A294" t="s">
        <v>4400</v>
      </c>
    </row>
    <row r="295" spans="1:1" x14ac:dyDescent="0.35">
      <c r="A295" t="s">
        <v>4401</v>
      </c>
    </row>
    <row r="296" spans="1:1" x14ac:dyDescent="0.35">
      <c r="A296" t="s">
        <v>4402</v>
      </c>
    </row>
    <row r="297" spans="1:1" x14ac:dyDescent="0.35">
      <c r="A297" t="s">
        <v>4403</v>
      </c>
    </row>
    <row r="298" spans="1:1" x14ac:dyDescent="0.35">
      <c r="A298" t="s">
        <v>4404</v>
      </c>
    </row>
    <row r="299" spans="1:1" x14ac:dyDescent="0.35">
      <c r="A299" t="s">
        <v>4405</v>
      </c>
    </row>
    <row r="300" spans="1:1" x14ac:dyDescent="0.35">
      <c r="A300" t="s">
        <v>4406</v>
      </c>
    </row>
    <row r="301" spans="1:1" x14ac:dyDescent="0.35">
      <c r="A301" t="s">
        <v>4407</v>
      </c>
    </row>
    <row r="302" spans="1:1" x14ac:dyDescent="0.35">
      <c r="A302" t="s">
        <v>4408</v>
      </c>
    </row>
    <row r="303" spans="1:1" x14ac:dyDescent="0.35">
      <c r="A303" t="s">
        <v>4409</v>
      </c>
    </row>
    <row r="304" spans="1:1" x14ac:dyDescent="0.35">
      <c r="A304" t="s">
        <v>4410</v>
      </c>
    </row>
    <row r="305" spans="1:1" x14ac:dyDescent="0.35">
      <c r="A305" t="s">
        <v>4411</v>
      </c>
    </row>
    <row r="306" spans="1:1" x14ac:dyDescent="0.35">
      <c r="A306" t="s">
        <v>4412</v>
      </c>
    </row>
    <row r="307" spans="1:1" x14ac:dyDescent="0.35">
      <c r="A307" t="s">
        <v>4413</v>
      </c>
    </row>
    <row r="308" spans="1:1" x14ac:dyDescent="0.35">
      <c r="A308" t="s">
        <v>4414</v>
      </c>
    </row>
    <row r="309" spans="1:1" x14ac:dyDescent="0.35">
      <c r="A309" t="s">
        <v>4415</v>
      </c>
    </row>
    <row r="310" spans="1:1" x14ac:dyDescent="0.35">
      <c r="A310" t="s">
        <v>4416</v>
      </c>
    </row>
    <row r="311" spans="1:1" x14ac:dyDescent="0.35">
      <c r="A311" t="s">
        <v>4417</v>
      </c>
    </row>
    <row r="312" spans="1:1" x14ac:dyDescent="0.35">
      <c r="A312" t="s">
        <v>4418</v>
      </c>
    </row>
    <row r="313" spans="1:1" x14ac:dyDescent="0.35">
      <c r="A313" t="s">
        <v>4419</v>
      </c>
    </row>
    <row r="314" spans="1:1" x14ac:dyDescent="0.35">
      <c r="A314" t="s">
        <v>4420</v>
      </c>
    </row>
    <row r="315" spans="1:1" x14ac:dyDescent="0.35">
      <c r="A315" t="s">
        <v>4421</v>
      </c>
    </row>
    <row r="316" spans="1:1" x14ac:dyDescent="0.35">
      <c r="A316" t="s">
        <v>4422</v>
      </c>
    </row>
    <row r="317" spans="1:1" x14ac:dyDescent="0.35">
      <c r="A317" t="s">
        <v>4423</v>
      </c>
    </row>
    <row r="318" spans="1:1" x14ac:dyDescent="0.35">
      <c r="A318" t="s">
        <v>4424</v>
      </c>
    </row>
    <row r="319" spans="1:1" x14ac:dyDescent="0.35">
      <c r="A319" t="s">
        <v>4425</v>
      </c>
    </row>
    <row r="320" spans="1:1" x14ac:dyDescent="0.35">
      <c r="A320" t="s">
        <v>4426</v>
      </c>
    </row>
    <row r="321" spans="1:1" x14ac:dyDescent="0.35">
      <c r="A321" t="s">
        <v>4427</v>
      </c>
    </row>
    <row r="322" spans="1:1" x14ac:dyDescent="0.35">
      <c r="A322" t="s">
        <v>4428</v>
      </c>
    </row>
    <row r="323" spans="1:1" x14ac:dyDescent="0.35">
      <c r="A323" t="s">
        <v>4429</v>
      </c>
    </row>
    <row r="324" spans="1:1" x14ac:dyDescent="0.35">
      <c r="A324" t="s">
        <v>4430</v>
      </c>
    </row>
    <row r="325" spans="1:1" x14ac:dyDescent="0.35">
      <c r="A325" t="s">
        <v>4431</v>
      </c>
    </row>
    <row r="326" spans="1:1" x14ac:dyDescent="0.35">
      <c r="A326" t="s">
        <v>4432</v>
      </c>
    </row>
    <row r="327" spans="1:1" x14ac:dyDescent="0.35">
      <c r="A327" t="s">
        <v>4433</v>
      </c>
    </row>
    <row r="328" spans="1:1" x14ac:dyDescent="0.35">
      <c r="A328" t="s">
        <v>4434</v>
      </c>
    </row>
    <row r="329" spans="1:1" x14ac:dyDescent="0.35">
      <c r="A329" t="s">
        <v>4435</v>
      </c>
    </row>
    <row r="330" spans="1:1" x14ac:dyDescent="0.35">
      <c r="A330" t="s">
        <v>4436</v>
      </c>
    </row>
    <row r="331" spans="1:1" x14ac:dyDescent="0.35">
      <c r="A331" t="s">
        <v>4437</v>
      </c>
    </row>
    <row r="332" spans="1:1" x14ac:dyDescent="0.35">
      <c r="A332" t="s">
        <v>4438</v>
      </c>
    </row>
    <row r="333" spans="1:1" x14ac:dyDescent="0.35">
      <c r="A333" t="s">
        <v>4439</v>
      </c>
    </row>
    <row r="334" spans="1:1" x14ac:dyDescent="0.35">
      <c r="A334" t="s">
        <v>4440</v>
      </c>
    </row>
    <row r="335" spans="1:1" x14ac:dyDescent="0.35">
      <c r="A335" t="s">
        <v>4441</v>
      </c>
    </row>
    <row r="336" spans="1:1" x14ac:dyDescent="0.35">
      <c r="A336" t="s">
        <v>4442</v>
      </c>
    </row>
    <row r="337" spans="1:1" x14ac:dyDescent="0.35">
      <c r="A337" t="s">
        <v>4443</v>
      </c>
    </row>
    <row r="338" spans="1:1" x14ac:dyDescent="0.35">
      <c r="A338" t="s">
        <v>4444</v>
      </c>
    </row>
    <row r="339" spans="1:1" x14ac:dyDescent="0.35">
      <c r="A339" t="s">
        <v>4445</v>
      </c>
    </row>
    <row r="340" spans="1:1" x14ac:dyDescent="0.35">
      <c r="A340" t="s">
        <v>4446</v>
      </c>
    </row>
    <row r="341" spans="1:1" x14ac:dyDescent="0.35">
      <c r="A341" t="s">
        <v>4447</v>
      </c>
    </row>
    <row r="342" spans="1:1" x14ac:dyDescent="0.35">
      <c r="A342" t="s">
        <v>4448</v>
      </c>
    </row>
    <row r="343" spans="1:1" x14ac:dyDescent="0.35">
      <c r="A343" t="s">
        <v>4449</v>
      </c>
    </row>
    <row r="344" spans="1:1" x14ac:dyDescent="0.35">
      <c r="A344" t="s">
        <v>4450</v>
      </c>
    </row>
    <row r="345" spans="1:1" x14ac:dyDescent="0.35">
      <c r="A345" t="s">
        <v>4451</v>
      </c>
    </row>
    <row r="346" spans="1:1" x14ac:dyDescent="0.35">
      <c r="A346" t="s">
        <v>4452</v>
      </c>
    </row>
    <row r="347" spans="1:1" x14ac:dyDescent="0.35">
      <c r="A347" t="s">
        <v>4453</v>
      </c>
    </row>
    <row r="348" spans="1:1" x14ac:dyDescent="0.35">
      <c r="A348" t="s">
        <v>4454</v>
      </c>
    </row>
    <row r="349" spans="1:1" x14ac:dyDescent="0.35">
      <c r="A349" t="s">
        <v>4455</v>
      </c>
    </row>
    <row r="350" spans="1:1" x14ac:dyDescent="0.35">
      <c r="A350" t="s">
        <v>4456</v>
      </c>
    </row>
    <row r="351" spans="1:1" x14ac:dyDescent="0.35">
      <c r="A351" t="s">
        <v>4457</v>
      </c>
    </row>
    <row r="352" spans="1:1" x14ac:dyDescent="0.35">
      <c r="A352" t="s">
        <v>4458</v>
      </c>
    </row>
    <row r="353" spans="1:1" x14ac:dyDescent="0.35">
      <c r="A353" t="s">
        <v>4459</v>
      </c>
    </row>
    <row r="354" spans="1:1" x14ac:dyDescent="0.35">
      <c r="A354" t="s">
        <v>4460</v>
      </c>
    </row>
    <row r="355" spans="1:1" x14ac:dyDescent="0.35">
      <c r="A355" t="s">
        <v>4461</v>
      </c>
    </row>
    <row r="356" spans="1:1" x14ac:dyDescent="0.35">
      <c r="A356" t="s">
        <v>4462</v>
      </c>
    </row>
    <row r="357" spans="1:1" x14ac:dyDescent="0.35">
      <c r="A357" t="s">
        <v>4463</v>
      </c>
    </row>
    <row r="358" spans="1:1" x14ac:dyDescent="0.35">
      <c r="A358" t="s">
        <v>4464</v>
      </c>
    </row>
    <row r="359" spans="1:1" x14ac:dyDescent="0.35">
      <c r="A359" t="s">
        <v>4465</v>
      </c>
    </row>
    <row r="360" spans="1:1" x14ac:dyDescent="0.35">
      <c r="A360" t="s">
        <v>4466</v>
      </c>
    </row>
    <row r="361" spans="1:1" x14ac:dyDescent="0.35">
      <c r="A361" t="s">
        <v>4467</v>
      </c>
    </row>
    <row r="362" spans="1:1" x14ac:dyDescent="0.35">
      <c r="A362" t="s">
        <v>4468</v>
      </c>
    </row>
    <row r="363" spans="1:1" x14ac:dyDescent="0.35">
      <c r="A363" t="s">
        <v>4469</v>
      </c>
    </row>
    <row r="364" spans="1:1" x14ac:dyDescent="0.35">
      <c r="A364" t="s">
        <v>4470</v>
      </c>
    </row>
    <row r="365" spans="1:1" x14ac:dyDescent="0.35">
      <c r="A365" t="s">
        <v>4471</v>
      </c>
    </row>
    <row r="366" spans="1:1" x14ac:dyDescent="0.35">
      <c r="A366" t="s">
        <v>4472</v>
      </c>
    </row>
    <row r="367" spans="1:1" x14ac:dyDescent="0.35">
      <c r="A367" t="s">
        <v>4473</v>
      </c>
    </row>
    <row r="368" spans="1:1" x14ac:dyDescent="0.35">
      <c r="A368" t="s">
        <v>4474</v>
      </c>
    </row>
    <row r="369" spans="1:1" x14ac:dyDescent="0.35">
      <c r="A369" t="s">
        <v>4475</v>
      </c>
    </row>
    <row r="370" spans="1:1" x14ac:dyDescent="0.35">
      <c r="A370" t="s">
        <v>4476</v>
      </c>
    </row>
    <row r="371" spans="1:1" x14ac:dyDescent="0.35">
      <c r="A371" t="s">
        <v>4477</v>
      </c>
    </row>
    <row r="372" spans="1:1" x14ac:dyDescent="0.35">
      <c r="A372" t="s">
        <v>4478</v>
      </c>
    </row>
    <row r="373" spans="1:1" x14ac:dyDescent="0.35">
      <c r="A373" t="s">
        <v>4479</v>
      </c>
    </row>
    <row r="374" spans="1:1" x14ac:dyDescent="0.35">
      <c r="A374" t="s">
        <v>4480</v>
      </c>
    </row>
    <row r="375" spans="1:1" x14ac:dyDescent="0.35">
      <c r="A375" t="s">
        <v>4481</v>
      </c>
    </row>
    <row r="376" spans="1:1" x14ac:dyDescent="0.35">
      <c r="A376" t="s">
        <v>4482</v>
      </c>
    </row>
    <row r="377" spans="1:1" x14ac:dyDescent="0.35">
      <c r="A377" t="s">
        <v>4483</v>
      </c>
    </row>
    <row r="378" spans="1:1" x14ac:dyDescent="0.35">
      <c r="A378" t="s">
        <v>4484</v>
      </c>
    </row>
    <row r="379" spans="1:1" x14ac:dyDescent="0.35">
      <c r="A379" t="s">
        <v>4485</v>
      </c>
    </row>
    <row r="380" spans="1:1" x14ac:dyDescent="0.35">
      <c r="A380" t="s">
        <v>4486</v>
      </c>
    </row>
    <row r="381" spans="1:1" x14ac:dyDescent="0.35">
      <c r="A381" t="s">
        <v>4487</v>
      </c>
    </row>
    <row r="382" spans="1:1" x14ac:dyDescent="0.35">
      <c r="A382" t="s">
        <v>4488</v>
      </c>
    </row>
    <row r="383" spans="1:1" x14ac:dyDescent="0.35">
      <c r="A383" t="s">
        <v>4489</v>
      </c>
    </row>
    <row r="384" spans="1:1" x14ac:dyDescent="0.35">
      <c r="A384" t="s">
        <v>4490</v>
      </c>
    </row>
    <row r="385" spans="1:1" x14ac:dyDescent="0.35">
      <c r="A385" t="s">
        <v>4491</v>
      </c>
    </row>
    <row r="386" spans="1:1" x14ac:dyDescent="0.35">
      <c r="A386" t="s">
        <v>4492</v>
      </c>
    </row>
    <row r="387" spans="1:1" x14ac:dyDescent="0.35">
      <c r="A387" t="s">
        <v>4493</v>
      </c>
    </row>
    <row r="388" spans="1:1" x14ac:dyDescent="0.35">
      <c r="A388" t="s">
        <v>4494</v>
      </c>
    </row>
    <row r="389" spans="1:1" x14ac:dyDescent="0.35">
      <c r="A389" t="s">
        <v>4495</v>
      </c>
    </row>
    <row r="390" spans="1:1" x14ac:dyDescent="0.35">
      <c r="A390" t="s">
        <v>4496</v>
      </c>
    </row>
    <row r="391" spans="1:1" x14ac:dyDescent="0.35">
      <c r="A391" t="s">
        <v>4497</v>
      </c>
    </row>
    <row r="392" spans="1:1" x14ac:dyDescent="0.35">
      <c r="A392" t="s">
        <v>4498</v>
      </c>
    </row>
    <row r="393" spans="1:1" x14ac:dyDescent="0.35">
      <c r="A393" t="s">
        <v>4499</v>
      </c>
    </row>
    <row r="394" spans="1:1" x14ac:dyDescent="0.35">
      <c r="A394" t="s">
        <v>4500</v>
      </c>
    </row>
    <row r="395" spans="1:1" x14ac:dyDescent="0.35">
      <c r="A395" t="s">
        <v>4501</v>
      </c>
    </row>
    <row r="396" spans="1:1" x14ac:dyDescent="0.35">
      <c r="A396" t="s">
        <v>4502</v>
      </c>
    </row>
    <row r="397" spans="1:1" x14ac:dyDescent="0.35">
      <c r="A397" t="s">
        <v>4503</v>
      </c>
    </row>
    <row r="398" spans="1:1" x14ac:dyDescent="0.35">
      <c r="A398" t="s">
        <v>4504</v>
      </c>
    </row>
    <row r="399" spans="1:1" x14ac:dyDescent="0.35">
      <c r="A399" t="s">
        <v>4505</v>
      </c>
    </row>
    <row r="400" spans="1:1" x14ac:dyDescent="0.35">
      <c r="A400" t="s">
        <v>4506</v>
      </c>
    </row>
    <row r="401" spans="1:1" x14ac:dyDescent="0.35">
      <c r="A401" t="s">
        <v>4507</v>
      </c>
    </row>
    <row r="402" spans="1:1" x14ac:dyDescent="0.35">
      <c r="A402" t="s">
        <v>4508</v>
      </c>
    </row>
    <row r="403" spans="1:1" x14ac:dyDescent="0.35">
      <c r="A403" t="s">
        <v>4509</v>
      </c>
    </row>
    <row r="404" spans="1:1" x14ac:dyDescent="0.35">
      <c r="A404" t="s">
        <v>4510</v>
      </c>
    </row>
    <row r="405" spans="1:1" x14ac:dyDescent="0.35">
      <c r="A405" t="s">
        <v>4511</v>
      </c>
    </row>
    <row r="406" spans="1:1" x14ac:dyDescent="0.35">
      <c r="A406" t="s">
        <v>4512</v>
      </c>
    </row>
    <row r="407" spans="1:1" x14ac:dyDescent="0.35">
      <c r="A407" t="s">
        <v>4513</v>
      </c>
    </row>
    <row r="408" spans="1:1" x14ac:dyDescent="0.35">
      <c r="A408" t="s">
        <v>4514</v>
      </c>
    </row>
    <row r="409" spans="1:1" x14ac:dyDescent="0.35">
      <c r="A409" t="s">
        <v>4515</v>
      </c>
    </row>
    <row r="410" spans="1:1" x14ac:dyDescent="0.35">
      <c r="A410" t="s">
        <v>4516</v>
      </c>
    </row>
    <row r="411" spans="1:1" x14ac:dyDescent="0.35">
      <c r="A411" t="s">
        <v>4517</v>
      </c>
    </row>
    <row r="412" spans="1:1" x14ac:dyDescent="0.35">
      <c r="A412" t="s">
        <v>4518</v>
      </c>
    </row>
    <row r="413" spans="1:1" x14ac:dyDescent="0.35">
      <c r="A413" t="s">
        <v>4519</v>
      </c>
    </row>
    <row r="414" spans="1:1" x14ac:dyDescent="0.35">
      <c r="A414" t="s">
        <v>4520</v>
      </c>
    </row>
    <row r="415" spans="1:1" x14ac:dyDescent="0.35">
      <c r="A415" t="s">
        <v>4521</v>
      </c>
    </row>
    <row r="416" spans="1:1" x14ac:dyDescent="0.35">
      <c r="A416" t="s">
        <v>4522</v>
      </c>
    </row>
    <row r="417" spans="1:1" x14ac:dyDescent="0.35">
      <c r="A417" t="s">
        <v>4523</v>
      </c>
    </row>
    <row r="418" spans="1:1" x14ac:dyDescent="0.35">
      <c r="A418" t="s">
        <v>4524</v>
      </c>
    </row>
    <row r="419" spans="1:1" x14ac:dyDescent="0.35">
      <c r="A419" t="s">
        <v>4525</v>
      </c>
    </row>
    <row r="420" spans="1:1" x14ac:dyDescent="0.35">
      <c r="A420" t="s">
        <v>4526</v>
      </c>
    </row>
    <row r="421" spans="1:1" x14ac:dyDescent="0.35">
      <c r="A421" t="s">
        <v>4527</v>
      </c>
    </row>
    <row r="422" spans="1:1" x14ac:dyDescent="0.35">
      <c r="A422" t="s">
        <v>4528</v>
      </c>
    </row>
    <row r="423" spans="1:1" x14ac:dyDescent="0.35">
      <c r="A423" t="s">
        <v>4529</v>
      </c>
    </row>
    <row r="424" spans="1:1" x14ac:dyDescent="0.35">
      <c r="A424" t="s">
        <v>4530</v>
      </c>
    </row>
    <row r="425" spans="1:1" x14ac:dyDescent="0.35">
      <c r="A425" t="s">
        <v>4531</v>
      </c>
    </row>
    <row r="426" spans="1:1" x14ac:dyDescent="0.35">
      <c r="A426" t="s">
        <v>4532</v>
      </c>
    </row>
    <row r="427" spans="1:1" x14ac:dyDescent="0.35">
      <c r="A427" t="s">
        <v>4533</v>
      </c>
    </row>
    <row r="428" spans="1:1" x14ac:dyDescent="0.35">
      <c r="A428" t="s">
        <v>4534</v>
      </c>
    </row>
    <row r="429" spans="1:1" x14ac:dyDescent="0.35">
      <c r="A429" t="s">
        <v>4535</v>
      </c>
    </row>
    <row r="430" spans="1:1" x14ac:dyDescent="0.35">
      <c r="A430" t="s">
        <v>4536</v>
      </c>
    </row>
    <row r="431" spans="1:1" x14ac:dyDescent="0.35">
      <c r="A431" t="s">
        <v>4537</v>
      </c>
    </row>
    <row r="432" spans="1:1" x14ac:dyDescent="0.35">
      <c r="A432" t="s">
        <v>4538</v>
      </c>
    </row>
    <row r="433" spans="1:1" x14ac:dyDescent="0.35">
      <c r="A433" t="s">
        <v>4539</v>
      </c>
    </row>
    <row r="434" spans="1:1" x14ac:dyDescent="0.35">
      <c r="A434" t="s">
        <v>4540</v>
      </c>
    </row>
    <row r="435" spans="1:1" x14ac:dyDescent="0.35">
      <c r="A435" t="s">
        <v>4541</v>
      </c>
    </row>
    <row r="436" spans="1:1" x14ac:dyDescent="0.35">
      <c r="A436" t="s">
        <v>4542</v>
      </c>
    </row>
    <row r="437" spans="1:1" x14ac:dyDescent="0.35">
      <c r="A437" t="s">
        <v>4543</v>
      </c>
    </row>
    <row r="438" spans="1:1" x14ac:dyDescent="0.35">
      <c r="A438" t="s">
        <v>4544</v>
      </c>
    </row>
    <row r="439" spans="1:1" x14ac:dyDescent="0.35">
      <c r="A439" t="s">
        <v>4545</v>
      </c>
    </row>
    <row r="440" spans="1:1" x14ac:dyDescent="0.35">
      <c r="A440" t="s">
        <v>4546</v>
      </c>
    </row>
    <row r="441" spans="1:1" x14ac:dyDescent="0.35">
      <c r="A441" t="s">
        <v>4547</v>
      </c>
    </row>
    <row r="442" spans="1:1" x14ac:dyDescent="0.35">
      <c r="A442" t="s">
        <v>4548</v>
      </c>
    </row>
    <row r="443" spans="1:1" x14ac:dyDescent="0.35">
      <c r="A443" t="s">
        <v>4549</v>
      </c>
    </row>
    <row r="444" spans="1:1" x14ac:dyDescent="0.35">
      <c r="A444" t="s">
        <v>4550</v>
      </c>
    </row>
    <row r="445" spans="1:1" x14ac:dyDescent="0.35">
      <c r="A445" t="s">
        <v>4551</v>
      </c>
    </row>
    <row r="446" spans="1:1" x14ac:dyDescent="0.35">
      <c r="A446" t="s">
        <v>4552</v>
      </c>
    </row>
    <row r="447" spans="1:1" x14ac:dyDescent="0.35">
      <c r="A447" t="s">
        <v>4553</v>
      </c>
    </row>
    <row r="448" spans="1:1" x14ac:dyDescent="0.35">
      <c r="A448" t="s">
        <v>4554</v>
      </c>
    </row>
    <row r="449" spans="1:1" x14ac:dyDescent="0.35">
      <c r="A449" t="s">
        <v>4555</v>
      </c>
    </row>
    <row r="450" spans="1:1" x14ac:dyDescent="0.35">
      <c r="A450" t="s">
        <v>4556</v>
      </c>
    </row>
    <row r="451" spans="1:1" x14ac:dyDescent="0.35">
      <c r="A451" t="s">
        <v>4557</v>
      </c>
    </row>
    <row r="452" spans="1:1" x14ac:dyDescent="0.35">
      <c r="A452" t="s">
        <v>4558</v>
      </c>
    </row>
    <row r="453" spans="1:1" x14ac:dyDescent="0.35">
      <c r="A453" t="s">
        <v>4559</v>
      </c>
    </row>
    <row r="454" spans="1:1" x14ac:dyDescent="0.35">
      <c r="A454" t="s">
        <v>4560</v>
      </c>
    </row>
    <row r="455" spans="1:1" x14ac:dyDescent="0.35">
      <c r="A455" t="s">
        <v>4561</v>
      </c>
    </row>
    <row r="456" spans="1:1" x14ac:dyDescent="0.35">
      <c r="A456" t="s">
        <v>4562</v>
      </c>
    </row>
    <row r="457" spans="1:1" x14ac:dyDescent="0.35">
      <c r="A457" t="s">
        <v>4563</v>
      </c>
    </row>
    <row r="458" spans="1:1" x14ac:dyDescent="0.35">
      <c r="A458" t="s">
        <v>4564</v>
      </c>
    </row>
    <row r="459" spans="1:1" x14ac:dyDescent="0.35">
      <c r="A459" t="s">
        <v>4565</v>
      </c>
    </row>
    <row r="460" spans="1:1" x14ac:dyDescent="0.35">
      <c r="A460" t="s">
        <v>4566</v>
      </c>
    </row>
    <row r="461" spans="1:1" x14ac:dyDescent="0.35">
      <c r="A461" t="s">
        <v>4567</v>
      </c>
    </row>
    <row r="462" spans="1:1" x14ac:dyDescent="0.35">
      <c r="A462" t="s">
        <v>4568</v>
      </c>
    </row>
    <row r="463" spans="1:1" x14ac:dyDescent="0.35">
      <c r="A463" t="s">
        <v>4569</v>
      </c>
    </row>
    <row r="464" spans="1:1" x14ac:dyDescent="0.35">
      <c r="A464" t="s">
        <v>4570</v>
      </c>
    </row>
    <row r="465" spans="1:1" x14ac:dyDescent="0.35">
      <c r="A465" t="s">
        <v>4571</v>
      </c>
    </row>
    <row r="466" spans="1:1" x14ac:dyDescent="0.35">
      <c r="A466" t="s">
        <v>4572</v>
      </c>
    </row>
    <row r="467" spans="1:1" x14ac:dyDescent="0.35">
      <c r="A467" t="s">
        <v>4573</v>
      </c>
    </row>
    <row r="468" spans="1:1" x14ac:dyDescent="0.35">
      <c r="A468" t="s">
        <v>4574</v>
      </c>
    </row>
    <row r="469" spans="1:1" x14ac:dyDescent="0.35">
      <c r="A469" t="s">
        <v>4575</v>
      </c>
    </row>
    <row r="470" spans="1:1" x14ac:dyDescent="0.35">
      <c r="A470" t="s">
        <v>4576</v>
      </c>
    </row>
    <row r="471" spans="1:1" x14ac:dyDescent="0.35">
      <c r="A471" t="s">
        <v>4577</v>
      </c>
    </row>
    <row r="472" spans="1:1" x14ac:dyDescent="0.35">
      <c r="A472" t="s">
        <v>4578</v>
      </c>
    </row>
    <row r="473" spans="1:1" x14ac:dyDescent="0.35">
      <c r="A473" t="s">
        <v>4579</v>
      </c>
    </row>
    <row r="474" spans="1:1" x14ac:dyDescent="0.35">
      <c r="A474" t="s">
        <v>4580</v>
      </c>
    </row>
    <row r="475" spans="1:1" x14ac:dyDescent="0.35">
      <c r="A475" t="s">
        <v>4581</v>
      </c>
    </row>
    <row r="476" spans="1:1" x14ac:dyDescent="0.35">
      <c r="A476" t="s">
        <v>4582</v>
      </c>
    </row>
    <row r="477" spans="1:1" x14ac:dyDescent="0.35">
      <c r="A477" t="s">
        <v>4583</v>
      </c>
    </row>
    <row r="478" spans="1:1" x14ac:dyDescent="0.35">
      <c r="A478" t="s">
        <v>4584</v>
      </c>
    </row>
    <row r="479" spans="1:1" x14ac:dyDescent="0.35">
      <c r="A479" t="s">
        <v>4585</v>
      </c>
    </row>
    <row r="480" spans="1:1" x14ac:dyDescent="0.35">
      <c r="A480" t="s">
        <v>4586</v>
      </c>
    </row>
    <row r="481" spans="1:1" x14ac:dyDescent="0.35">
      <c r="A481" t="s">
        <v>4587</v>
      </c>
    </row>
    <row r="482" spans="1:1" x14ac:dyDescent="0.35">
      <c r="A482" t="s">
        <v>4588</v>
      </c>
    </row>
    <row r="483" spans="1:1" x14ac:dyDescent="0.35">
      <c r="A483" t="s">
        <v>4589</v>
      </c>
    </row>
    <row r="484" spans="1:1" x14ac:dyDescent="0.35">
      <c r="A484" t="s">
        <v>4590</v>
      </c>
    </row>
    <row r="485" spans="1:1" x14ac:dyDescent="0.35">
      <c r="A485" t="s">
        <v>4591</v>
      </c>
    </row>
    <row r="486" spans="1:1" x14ac:dyDescent="0.35">
      <c r="A486" t="s">
        <v>4592</v>
      </c>
    </row>
    <row r="487" spans="1:1" x14ac:dyDescent="0.35">
      <c r="A487" t="s">
        <v>4593</v>
      </c>
    </row>
    <row r="488" spans="1:1" x14ac:dyDescent="0.35">
      <c r="A488" t="s">
        <v>4594</v>
      </c>
    </row>
    <row r="489" spans="1:1" x14ac:dyDescent="0.35">
      <c r="A489" t="s">
        <v>4595</v>
      </c>
    </row>
    <row r="490" spans="1:1" x14ac:dyDescent="0.35">
      <c r="A490" t="s">
        <v>4596</v>
      </c>
    </row>
    <row r="491" spans="1:1" x14ac:dyDescent="0.35">
      <c r="A491" t="s">
        <v>4597</v>
      </c>
    </row>
    <row r="492" spans="1:1" x14ac:dyDescent="0.35">
      <c r="A492" t="s">
        <v>4598</v>
      </c>
    </row>
    <row r="493" spans="1:1" x14ac:dyDescent="0.35">
      <c r="A493" t="s">
        <v>4599</v>
      </c>
    </row>
    <row r="494" spans="1:1" x14ac:dyDescent="0.35">
      <c r="A494" t="s">
        <v>4600</v>
      </c>
    </row>
    <row r="495" spans="1:1" x14ac:dyDescent="0.35">
      <c r="A495" t="s">
        <v>4601</v>
      </c>
    </row>
    <row r="496" spans="1:1" x14ac:dyDescent="0.35">
      <c r="A496" t="s">
        <v>4602</v>
      </c>
    </row>
    <row r="497" spans="1:1" x14ac:dyDescent="0.35">
      <c r="A497" t="s">
        <v>4603</v>
      </c>
    </row>
    <row r="498" spans="1:1" x14ac:dyDescent="0.35">
      <c r="A498" t="s">
        <v>4604</v>
      </c>
    </row>
    <row r="499" spans="1:1" x14ac:dyDescent="0.35">
      <c r="A499" t="s">
        <v>4605</v>
      </c>
    </row>
    <row r="500" spans="1:1" x14ac:dyDescent="0.35">
      <c r="A500" t="s">
        <v>4606</v>
      </c>
    </row>
    <row r="501" spans="1:1" x14ac:dyDescent="0.35">
      <c r="A501" t="s">
        <v>4607</v>
      </c>
    </row>
    <row r="502" spans="1:1" x14ac:dyDescent="0.35">
      <c r="A502" t="s">
        <v>4608</v>
      </c>
    </row>
    <row r="503" spans="1:1" x14ac:dyDescent="0.35">
      <c r="A503" t="s">
        <v>4609</v>
      </c>
    </row>
    <row r="504" spans="1:1" x14ac:dyDescent="0.35">
      <c r="A504" t="s">
        <v>4610</v>
      </c>
    </row>
    <row r="505" spans="1:1" x14ac:dyDescent="0.35">
      <c r="A505" t="s">
        <v>4611</v>
      </c>
    </row>
    <row r="506" spans="1:1" x14ac:dyDescent="0.35">
      <c r="A506" t="s">
        <v>4612</v>
      </c>
    </row>
    <row r="507" spans="1:1" x14ac:dyDescent="0.35">
      <c r="A507" t="s">
        <v>4613</v>
      </c>
    </row>
    <row r="508" spans="1:1" x14ac:dyDescent="0.35">
      <c r="A508" t="s">
        <v>4614</v>
      </c>
    </row>
    <row r="509" spans="1:1" x14ac:dyDescent="0.35">
      <c r="A509" t="s">
        <v>4615</v>
      </c>
    </row>
    <row r="510" spans="1:1" x14ac:dyDescent="0.35">
      <c r="A510" t="s">
        <v>4616</v>
      </c>
    </row>
    <row r="511" spans="1:1" x14ac:dyDescent="0.35">
      <c r="A511" t="s">
        <v>4617</v>
      </c>
    </row>
    <row r="512" spans="1:1" x14ac:dyDescent="0.35">
      <c r="A512" t="s">
        <v>4618</v>
      </c>
    </row>
    <row r="513" spans="1:1" x14ac:dyDescent="0.35">
      <c r="A513" t="s">
        <v>4619</v>
      </c>
    </row>
    <row r="514" spans="1:1" x14ac:dyDescent="0.35">
      <c r="A514" t="s">
        <v>4620</v>
      </c>
    </row>
    <row r="515" spans="1:1" x14ac:dyDescent="0.35">
      <c r="A515" t="s">
        <v>4621</v>
      </c>
    </row>
    <row r="516" spans="1:1" x14ac:dyDescent="0.35">
      <c r="A516" t="s">
        <v>4622</v>
      </c>
    </row>
    <row r="517" spans="1:1" x14ac:dyDescent="0.35">
      <c r="A517" t="s">
        <v>4623</v>
      </c>
    </row>
    <row r="518" spans="1:1" x14ac:dyDescent="0.35">
      <c r="A518" t="s">
        <v>4624</v>
      </c>
    </row>
    <row r="519" spans="1:1" x14ac:dyDescent="0.35">
      <c r="A519" t="s">
        <v>4625</v>
      </c>
    </row>
    <row r="520" spans="1:1" x14ac:dyDescent="0.35">
      <c r="A520" t="s">
        <v>4626</v>
      </c>
    </row>
    <row r="521" spans="1:1" x14ac:dyDescent="0.35">
      <c r="A521" t="s">
        <v>4627</v>
      </c>
    </row>
    <row r="522" spans="1:1" x14ac:dyDescent="0.35">
      <c r="A522" t="s">
        <v>4628</v>
      </c>
    </row>
    <row r="523" spans="1:1" x14ac:dyDescent="0.35">
      <c r="A523" t="s">
        <v>4629</v>
      </c>
    </row>
    <row r="524" spans="1:1" x14ac:dyDescent="0.35">
      <c r="A524" t="s">
        <v>4630</v>
      </c>
    </row>
    <row r="525" spans="1:1" x14ac:dyDescent="0.35">
      <c r="A525" t="s">
        <v>4631</v>
      </c>
    </row>
    <row r="526" spans="1:1" x14ac:dyDescent="0.35">
      <c r="A526" t="s">
        <v>4632</v>
      </c>
    </row>
    <row r="527" spans="1:1" x14ac:dyDescent="0.35">
      <c r="A527" t="s">
        <v>4633</v>
      </c>
    </row>
    <row r="528" spans="1:1" x14ac:dyDescent="0.35">
      <c r="A528" t="s">
        <v>4634</v>
      </c>
    </row>
    <row r="529" spans="1:1" x14ac:dyDescent="0.35">
      <c r="A529" t="s">
        <v>4635</v>
      </c>
    </row>
    <row r="530" spans="1:1" x14ac:dyDescent="0.35">
      <c r="A530" t="s">
        <v>4636</v>
      </c>
    </row>
    <row r="531" spans="1:1" x14ac:dyDescent="0.35">
      <c r="A531" t="s">
        <v>4637</v>
      </c>
    </row>
    <row r="532" spans="1:1" x14ac:dyDescent="0.35">
      <c r="A532" t="s">
        <v>4638</v>
      </c>
    </row>
    <row r="533" spans="1:1" x14ac:dyDescent="0.35">
      <c r="A533" t="s">
        <v>4639</v>
      </c>
    </row>
    <row r="534" spans="1:1" x14ac:dyDescent="0.35">
      <c r="A534" t="s">
        <v>4640</v>
      </c>
    </row>
    <row r="535" spans="1:1" x14ac:dyDescent="0.35">
      <c r="A535" t="s">
        <v>4641</v>
      </c>
    </row>
    <row r="536" spans="1:1" x14ac:dyDescent="0.35">
      <c r="A536" t="s">
        <v>4642</v>
      </c>
    </row>
    <row r="537" spans="1:1" x14ac:dyDescent="0.35">
      <c r="A537" t="s">
        <v>4643</v>
      </c>
    </row>
    <row r="538" spans="1:1" x14ac:dyDescent="0.35">
      <c r="A538" t="s">
        <v>4644</v>
      </c>
    </row>
    <row r="539" spans="1:1" x14ac:dyDescent="0.35">
      <c r="A539" t="s">
        <v>4645</v>
      </c>
    </row>
    <row r="540" spans="1:1" x14ac:dyDescent="0.35">
      <c r="A540" t="s">
        <v>4646</v>
      </c>
    </row>
    <row r="541" spans="1:1" x14ac:dyDescent="0.35">
      <c r="A541" t="s">
        <v>4647</v>
      </c>
    </row>
    <row r="542" spans="1:1" x14ac:dyDescent="0.35">
      <c r="A542" t="s">
        <v>4648</v>
      </c>
    </row>
    <row r="543" spans="1:1" x14ac:dyDescent="0.35">
      <c r="A543" t="s">
        <v>4649</v>
      </c>
    </row>
    <row r="544" spans="1:1" x14ac:dyDescent="0.35">
      <c r="A544" t="s">
        <v>4650</v>
      </c>
    </row>
    <row r="545" spans="1:1" x14ac:dyDescent="0.35">
      <c r="A545" t="s">
        <v>4651</v>
      </c>
    </row>
    <row r="546" spans="1:1" x14ac:dyDescent="0.35">
      <c r="A546" t="s">
        <v>4652</v>
      </c>
    </row>
    <row r="547" spans="1:1" x14ac:dyDescent="0.35">
      <c r="A547" t="s">
        <v>4653</v>
      </c>
    </row>
    <row r="548" spans="1:1" x14ac:dyDescent="0.35">
      <c r="A548" t="s">
        <v>4654</v>
      </c>
    </row>
    <row r="549" spans="1:1" x14ac:dyDescent="0.35">
      <c r="A549" t="s">
        <v>4655</v>
      </c>
    </row>
    <row r="550" spans="1:1" x14ac:dyDescent="0.35">
      <c r="A550" t="s">
        <v>4656</v>
      </c>
    </row>
    <row r="551" spans="1:1" x14ac:dyDescent="0.35">
      <c r="A551" t="s">
        <v>4657</v>
      </c>
    </row>
    <row r="552" spans="1:1" x14ac:dyDescent="0.35">
      <c r="A552" t="s">
        <v>4658</v>
      </c>
    </row>
    <row r="553" spans="1:1" x14ac:dyDescent="0.35">
      <c r="A553" t="s">
        <v>4659</v>
      </c>
    </row>
    <row r="554" spans="1:1" x14ac:dyDescent="0.35">
      <c r="A554" t="s">
        <v>4660</v>
      </c>
    </row>
    <row r="555" spans="1:1" x14ac:dyDescent="0.35">
      <c r="A555" t="s">
        <v>4661</v>
      </c>
    </row>
    <row r="556" spans="1:1" x14ac:dyDescent="0.35">
      <c r="A556" t="s">
        <v>4662</v>
      </c>
    </row>
    <row r="557" spans="1:1" x14ac:dyDescent="0.35">
      <c r="A557" t="s">
        <v>4663</v>
      </c>
    </row>
    <row r="558" spans="1:1" x14ac:dyDescent="0.35">
      <c r="A558" t="s">
        <v>4664</v>
      </c>
    </row>
    <row r="559" spans="1:1" x14ac:dyDescent="0.35">
      <c r="A559" t="s">
        <v>4665</v>
      </c>
    </row>
    <row r="560" spans="1:1" x14ac:dyDescent="0.35">
      <c r="A560" t="s">
        <v>4666</v>
      </c>
    </row>
    <row r="561" spans="1:1" x14ac:dyDescent="0.35">
      <c r="A561" t="s">
        <v>4667</v>
      </c>
    </row>
    <row r="562" spans="1:1" x14ac:dyDescent="0.35">
      <c r="A562" t="s">
        <v>4668</v>
      </c>
    </row>
    <row r="563" spans="1:1" x14ac:dyDescent="0.35">
      <c r="A563" t="s">
        <v>4669</v>
      </c>
    </row>
    <row r="564" spans="1:1" x14ac:dyDescent="0.35">
      <c r="A564" t="s">
        <v>4670</v>
      </c>
    </row>
    <row r="565" spans="1:1" x14ac:dyDescent="0.35">
      <c r="A565" t="s">
        <v>4671</v>
      </c>
    </row>
    <row r="566" spans="1:1" x14ac:dyDescent="0.35">
      <c r="A566" t="s">
        <v>4672</v>
      </c>
    </row>
    <row r="567" spans="1:1" x14ac:dyDescent="0.35">
      <c r="A567" t="s">
        <v>4673</v>
      </c>
    </row>
    <row r="568" spans="1:1" x14ac:dyDescent="0.35">
      <c r="A568" t="s">
        <v>4674</v>
      </c>
    </row>
    <row r="569" spans="1:1" x14ac:dyDescent="0.35">
      <c r="A569" t="s">
        <v>4675</v>
      </c>
    </row>
    <row r="570" spans="1:1" x14ac:dyDescent="0.35">
      <c r="A570" t="s">
        <v>4676</v>
      </c>
    </row>
    <row r="571" spans="1:1" x14ac:dyDescent="0.35">
      <c r="A571" t="s">
        <v>4677</v>
      </c>
    </row>
    <row r="572" spans="1:1" x14ac:dyDescent="0.35">
      <c r="A572" t="s">
        <v>4678</v>
      </c>
    </row>
    <row r="573" spans="1:1" x14ac:dyDescent="0.35">
      <c r="A573" t="s">
        <v>4679</v>
      </c>
    </row>
    <row r="574" spans="1:1" x14ac:dyDescent="0.35">
      <c r="A574" t="s">
        <v>4680</v>
      </c>
    </row>
    <row r="575" spans="1:1" x14ac:dyDescent="0.35">
      <c r="A575" t="s">
        <v>4681</v>
      </c>
    </row>
    <row r="576" spans="1:1" x14ac:dyDescent="0.35">
      <c r="A576" t="s">
        <v>4682</v>
      </c>
    </row>
    <row r="577" spans="1:1" x14ac:dyDescent="0.35">
      <c r="A577" t="s">
        <v>4683</v>
      </c>
    </row>
    <row r="578" spans="1:1" x14ac:dyDescent="0.35">
      <c r="A578" t="s">
        <v>4684</v>
      </c>
    </row>
    <row r="579" spans="1:1" x14ac:dyDescent="0.35">
      <c r="A579" t="s">
        <v>4685</v>
      </c>
    </row>
    <row r="580" spans="1:1" x14ac:dyDescent="0.35">
      <c r="A580" t="s">
        <v>4686</v>
      </c>
    </row>
    <row r="581" spans="1:1" x14ac:dyDescent="0.35">
      <c r="A581" t="s">
        <v>4687</v>
      </c>
    </row>
    <row r="582" spans="1:1" x14ac:dyDescent="0.35">
      <c r="A582" t="s">
        <v>4688</v>
      </c>
    </row>
    <row r="583" spans="1:1" x14ac:dyDescent="0.35">
      <c r="A583" t="s">
        <v>4689</v>
      </c>
    </row>
    <row r="584" spans="1:1" x14ac:dyDescent="0.35">
      <c r="A584" t="s">
        <v>4690</v>
      </c>
    </row>
    <row r="585" spans="1:1" x14ac:dyDescent="0.35">
      <c r="A585" t="s">
        <v>4691</v>
      </c>
    </row>
    <row r="586" spans="1:1" x14ac:dyDescent="0.35">
      <c r="A586" t="s">
        <v>4692</v>
      </c>
    </row>
    <row r="587" spans="1:1" x14ac:dyDescent="0.35">
      <c r="A587" t="s">
        <v>4693</v>
      </c>
    </row>
    <row r="588" spans="1:1" x14ac:dyDescent="0.35">
      <c r="A588" t="s">
        <v>4694</v>
      </c>
    </row>
    <row r="589" spans="1:1" x14ac:dyDescent="0.35">
      <c r="A589" t="s">
        <v>4695</v>
      </c>
    </row>
    <row r="590" spans="1:1" x14ac:dyDescent="0.35">
      <c r="A590" t="s">
        <v>4696</v>
      </c>
    </row>
    <row r="591" spans="1:1" x14ac:dyDescent="0.35">
      <c r="A591" t="s">
        <v>4697</v>
      </c>
    </row>
    <row r="592" spans="1:1" x14ac:dyDescent="0.35">
      <c r="A592" t="s">
        <v>4698</v>
      </c>
    </row>
    <row r="593" spans="1:1" x14ac:dyDescent="0.35">
      <c r="A593" t="s">
        <v>4699</v>
      </c>
    </row>
    <row r="594" spans="1:1" x14ac:dyDescent="0.35">
      <c r="A594" t="s">
        <v>4700</v>
      </c>
    </row>
    <row r="595" spans="1:1" x14ac:dyDescent="0.35">
      <c r="A595" t="s">
        <v>4701</v>
      </c>
    </row>
    <row r="596" spans="1:1" x14ac:dyDescent="0.35">
      <c r="A596" t="s">
        <v>4702</v>
      </c>
    </row>
    <row r="597" spans="1:1" x14ac:dyDescent="0.35">
      <c r="A597" t="s">
        <v>4703</v>
      </c>
    </row>
    <row r="598" spans="1:1" x14ac:dyDescent="0.35">
      <c r="A598" t="s">
        <v>4704</v>
      </c>
    </row>
    <row r="599" spans="1:1" x14ac:dyDescent="0.35">
      <c r="A599" t="s">
        <v>4705</v>
      </c>
    </row>
    <row r="600" spans="1:1" x14ac:dyDescent="0.35">
      <c r="A600" t="s">
        <v>4706</v>
      </c>
    </row>
    <row r="601" spans="1:1" x14ac:dyDescent="0.35">
      <c r="A601" t="s">
        <v>4707</v>
      </c>
    </row>
    <row r="602" spans="1:1" x14ac:dyDescent="0.35">
      <c r="A602" t="s">
        <v>4708</v>
      </c>
    </row>
    <row r="603" spans="1:1" x14ac:dyDescent="0.35">
      <c r="A603" t="s">
        <v>4709</v>
      </c>
    </row>
    <row r="604" spans="1:1" x14ac:dyDescent="0.35">
      <c r="A604" t="s">
        <v>4710</v>
      </c>
    </row>
    <row r="605" spans="1:1" x14ac:dyDescent="0.35">
      <c r="A605" t="s">
        <v>4711</v>
      </c>
    </row>
    <row r="606" spans="1:1" x14ac:dyDescent="0.35">
      <c r="A606" t="s">
        <v>4712</v>
      </c>
    </row>
    <row r="607" spans="1:1" x14ac:dyDescent="0.35">
      <c r="A607" t="s">
        <v>4713</v>
      </c>
    </row>
    <row r="608" spans="1:1" x14ac:dyDescent="0.35">
      <c r="A608" t="s">
        <v>4714</v>
      </c>
    </row>
    <row r="609" spans="1:1" x14ac:dyDescent="0.35">
      <c r="A609" t="s">
        <v>4715</v>
      </c>
    </row>
    <row r="610" spans="1:1" x14ac:dyDescent="0.35">
      <c r="A610" t="s">
        <v>4716</v>
      </c>
    </row>
    <row r="611" spans="1:1" x14ac:dyDescent="0.35">
      <c r="A611" t="s">
        <v>4717</v>
      </c>
    </row>
    <row r="612" spans="1:1" x14ac:dyDescent="0.35">
      <c r="A612" t="s">
        <v>4718</v>
      </c>
    </row>
    <row r="613" spans="1:1" x14ac:dyDescent="0.35">
      <c r="A613" t="s">
        <v>4719</v>
      </c>
    </row>
    <row r="614" spans="1:1" x14ac:dyDescent="0.35">
      <c r="A614" t="s">
        <v>4720</v>
      </c>
    </row>
    <row r="615" spans="1:1" x14ac:dyDescent="0.35">
      <c r="A615" t="s">
        <v>4721</v>
      </c>
    </row>
    <row r="616" spans="1:1" x14ac:dyDescent="0.35">
      <c r="A616" t="s">
        <v>4722</v>
      </c>
    </row>
    <row r="617" spans="1:1" x14ac:dyDescent="0.35">
      <c r="A617" t="s">
        <v>4723</v>
      </c>
    </row>
    <row r="618" spans="1:1" x14ac:dyDescent="0.35">
      <c r="A618" t="s">
        <v>4724</v>
      </c>
    </row>
    <row r="619" spans="1:1" x14ac:dyDescent="0.35">
      <c r="A619" t="s">
        <v>4725</v>
      </c>
    </row>
    <row r="620" spans="1:1" x14ac:dyDescent="0.35">
      <c r="A620" t="s">
        <v>4726</v>
      </c>
    </row>
    <row r="621" spans="1:1" x14ac:dyDescent="0.35">
      <c r="A621" t="s">
        <v>4727</v>
      </c>
    </row>
    <row r="622" spans="1:1" x14ac:dyDescent="0.35">
      <c r="A622" t="s">
        <v>4728</v>
      </c>
    </row>
    <row r="623" spans="1:1" x14ac:dyDescent="0.35">
      <c r="A623" t="s">
        <v>4729</v>
      </c>
    </row>
    <row r="624" spans="1:1" x14ac:dyDescent="0.35">
      <c r="A624" t="s">
        <v>4730</v>
      </c>
    </row>
    <row r="625" spans="1:1" x14ac:dyDescent="0.35">
      <c r="A625" t="s">
        <v>4731</v>
      </c>
    </row>
    <row r="626" spans="1:1" x14ac:dyDescent="0.35">
      <c r="A626" t="s">
        <v>4732</v>
      </c>
    </row>
    <row r="627" spans="1:1" x14ac:dyDescent="0.35">
      <c r="A627" t="s">
        <v>4733</v>
      </c>
    </row>
    <row r="628" spans="1:1" x14ac:dyDescent="0.35">
      <c r="A628" t="s">
        <v>4734</v>
      </c>
    </row>
    <row r="629" spans="1:1" x14ac:dyDescent="0.35">
      <c r="A629" t="s">
        <v>4735</v>
      </c>
    </row>
    <row r="630" spans="1:1" x14ac:dyDescent="0.35">
      <c r="A630" t="s">
        <v>4736</v>
      </c>
    </row>
    <row r="631" spans="1:1" x14ac:dyDescent="0.35">
      <c r="A631" t="s">
        <v>4737</v>
      </c>
    </row>
    <row r="632" spans="1:1" x14ac:dyDescent="0.35">
      <c r="A632" t="s">
        <v>4738</v>
      </c>
    </row>
    <row r="633" spans="1:1" x14ac:dyDescent="0.35">
      <c r="A633" t="s">
        <v>4739</v>
      </c>
    </row>
    <row r="634" spans="1:1" x14ac:dyDescent="0.35">
      <c r="A634" t="s">
        <v>4740</v>
      </c>
    </row>
    <row r="635" spans="1:1" x14ac:dyDescent="0.35">
      <c r="A635" t="s">
        <v>4741</v>
      </c>
    </row>
    <row r="636" spans="1:1" x14ac:dyDescent="0.35">
      <c r="A636" t="s">
        <v>4742</v>
      </c>
    </row>
    <row r="637" spans="1:1" x14ac:dyDescent="0.35">
      <c r="A637" t="s">
        <v>4743</v>
      </c>
    </row>
    <row r="638" spans="1:1" x14ac:dyDescent="0.35">
      <c r="A638" t="s">
        <v>4744</v>
      </c>
    </row>
    <row r="639" spans="1:1" x14ac:dyDescent="0.35">
      <c r="A639" t="s">
        <v>4745</v>
      </c>
    </row>
    <row r="640" spans="1:1" x14ac:dyDescent="0.35">
      <c r="A640" t="s">
        <v>4746</v>
      </c>
    </row>
    <row r="641" spans="1:1" x14ac:dyDescent="0.35">
      <c r="A641" t="s">
        <v>4747</v>
      </c>
    </row>
    <row r="642" spans="1:1" x14ac:dyDescent="0.35">
      <c r="A642" t="s">
        <v>4748</v>
      </c>
    </row>
    <row r="643" spans="1:1" x14ac:dyDescent="0.35">
      <c r="A643" t="s">
        <v>4749</v>
      </c>
    </row>
    <row r="644" spans="1:1" x14ac:dyDescent="0.35">
      <c r="A644" t="s">
        <v>4750</v>
      </c>
    </row>
    <row r="645" spans="1:1" x14ac:dyDescent="0.35">
      <c r="A645" t="s">
        <v>4751</v>
      </c>
    </row>
    <row r="646" spans="1:1" x14ac:dyDescent="0.35">
      <c r="A646" t="s">
        <v>4752</v>
      </c>
    </row>
    <row r="647" spans="1:1" x14ac:dyDescent="0.35">
      <c r="A647" t="s">
        <v>4753</v>
      </c>
    </row>
    <row r="648" spans="1:1" x14ac:dyDescent="0.35">
      <c r="A648" t="s">
        <v>4754</v>
      </c>
    </row>
    <row r="649" spans="1:1" x14ac:dyDescent="0.35">
      <c r="A649" t="s">
        <v>4755</v>
      </c>
    </row>
    <row r="650" spans="1:1" x14ac:dyDescent="0.35">
      <c r="A650" t="s">
        <v>4756</v>
      </c>
    </row>
    <row r="651" spans="1:1" x14ac:dyDescent="0.35">
      <c r="A651" t="s">
        <v>4757</v>
      </c>
    </row>
    <row r="652" spans="1:1" x14ac:dyDescent="0.35">
      <c r="A652" t="s">
        <v>4758</v>
      </c>
    </row>
    <row r="653" spans="1:1" x14ac:dyDescent="0.35">
      <c r="A653" t="s">
        <v>4759</v>
      </c>
    </row>
    <row r="654" spans="1:1" x14ac:dyDescent="0.35">
      <c r="A654" t="s">
        <v>4760</v>
      </c>
    </row>
    <row r="655" spans="1:1" x14ac:dyDescent="0.35">
      <c r="A655" t="s">
        <v>4761</v>
      </c>
    </row>
    <row r="656" spans="1:1" x14ac:dyDescent="0.35">
      <c r="A656" t="s">
        <v>4762</v>
      </c>
    </row>
    <row r="657" spans="1:1" x14ac:dyDescent="0.35">
      <c r="A657" t="s">
        <v>4763</v>
      </c>
    </row>
    <row r="658" spans="1:1" x14ac:dyDescent="0.35">
      <c r="A658" t="s">
        <v>4764</v>
      </c>
    </row>
    <row r="659" spans="1:1" x14ac:dyDescent="0.35">
      <c r="A659" t="s">
        <v>4765</v>
      </c>
    </row>
    <row r="660" spans="1:1" x14ac:dyDescent="0.35">
      <c r="A660" t="s">
        <v>4766</v>
      </c>
    </row>
    <row r="661" spans="1:1" x14ac:dyDescent="0.35">
      <c r="A661" t="s">
        <v>4767</v>
      </c>
    </row>
    <row r="662" spans="1:1" x14ac:dyDescent="0.35">
      <c r="A662" t="s">
        <v>4768</v>
      </c>
    </row>
    <row r="663" spans="1:1" x14ac:dyDescent="0.35">
      <c r="A663" t="s">
        <v>4769</v>
      </c>
    </row>
    <row r="664" spans="1:1" x14ac:dyDescent="0.35">
      <c r="A664" t="s">
        <v>4770</v>
      </c>
    </row>
    <row r="665" spans="1:1" x14ac:dyDescent="0.35">
      <c r="A665" t="s">
        <v>4771</v>
      </c>
    </row>
    <row r="666" spans="1:1" x14ac:dyDescent="0.35">
      <c r="A666" t="s">
        <v>4772</v>
      </c>
    </row>
    <row r="667" spans="1:1" x14ac:dyDescent="0.35">
      <c r="A667" t="s">
        <v>4773</v>
      </c>
    </row>
    <row r="668" spans="1:1" x14ac:dyDescent="0.35">
      <c r="A668" t="s">
        <v>4774</v>
      </c>
    </row>
    <row r="669" spans="1:1" x14ac:dyDescent="0.35">
      <c r="A669" t="s">
        <v>4775</v>
      </c>
    </row>
    <row r="670" spans="1:1" x14ac:dyDescent="0.35">
      <c r="A670" t="s">
        <v>4776</v>
      </c>
    </row>
    <row r="671" spans="1:1" x14ac:dyDescent="0.35">
      <c r="A671" t="s">
        <v>4777</v>
      </c>
    </row>
    <row r="672" spans="1:1" x14ac:dyDescent="0.35">
      <c r="A672" t="s">
        <v>4778</v>
      </c>
    </row>
    <row r="673" spans="1:1" x14ac:dyDescent="0.35">
      <c r="A673" t="s">
        <v>4779</v>
      </c>
    </row>
    <row r="674" spans="1:1" x14ac:dyDescent="0.35">
      <c r="A674" t="s">
        <v>4780</v>
      </c>
    </row>
    <row r="675" spans="1:1" x14ac:dyDescent="0.35">
      <c r="A675" t="s">
        <v>4781</v>
      </c>
    </row>
    <row r="676" spans="1:1" x14ac:dyDescent="0.35">
      <c r="A676" t="s">
        <v>4782</v>
      </c>
    </row>
    <row r="677" spans="1:1" x14ac:dyDescent="0.35">
      <c r="A677" t="s">
        <v>4783</v>
      </c>
    </row>
    <row r="678" spans="1:1" x14ac:dyDescent="0.35">
      <c r="A678" t="s">
        <v>4784</v>
      </c>
    </row>
    <row r="679" spans="1:1" x14ac:dyDescent="0.35">
      <c r="A679" t="s">
        <v>4785</v>
      </c>
    </row>
    <row r="680" spans="1:1" x14ac:dyDescent="0.35">
      <c r="A680" t="s">
        <v>4786</v>
      </c>
    </row>
    <row r="681" spans="1:1" x14ac:dyDescent="0.35">
      <c r="A681" t="s">
        <v>4787</v>
      </c>
    </row>
    <row r="682" spans="1:1" x14ac:dyDescent="0.35">
      <c r="A682" t="s">
        <v>4788</v>
      </c>
    </row>
    <row r="683" spans="1:1" x14ac:dyDescent="0.35">
      <c r="A683" t="s">
        <v>4789</v>
      </c>
    </row>
    <row r="684" spans="1:1" x14ac:dyDescent="0.35">
      <c r="A684" t="s">
        <v>4790</v>
      </c>
    </row>
    <row r="685" spans="1:1" x14ac:dyDescent="0.35">
      <c r="A685" t="s">
        <v>4791</v>
      </c>
    </row>
    <row r="686" spans="1:1" x14ac:dyDescent="0.35">
      <c r="A686" t="s">
        <v>4792</v>
      </c>
    </row>
    <row r="687" spans="1:1" x14ac:dyDescent="0.35">
      <c r="A687" t="s">
        <v>4793</v>
      </c>
    </row>
    <row r="688" spans="1:1" x14ac:dyDescent="0.35">
      <c r="A688" t="s">
        <v>4794</v>
      </c>
    </row>
    <row r="689" spans="1:1" x14ac:dyDescent="0.35">
      <c r="A689" t="s">
        <v>4795</v>
      </c>
    </row>
    <row r="690" spans="1:1" x14ac:dyDescent="0.35">
      <c r="A690" t="s">
        <v>4796</v>
      </c>
    </row>
    <row r="691" spans="1:1" x14ac:dyDescent="0.35">
      <c r="A691" t="s">
        <v>4797</v>
      </c>
    </row>
    <row r="692" spans="1:1" x14ac:dyDescent="0.35">
      <c r="A692" t="s">
        <v>4798</v>
      </c>
    </row>
    <row r="693" spans="1:1" x14ac:dyDescent="0.35">
      <c r="A693" t="s">
        <v>4799</v>
      </c>
    </row>
    <row r="694" spans="1:1" x14ac:dyDescent="0.35">
      <c r="A694" t="s">
        <v>4800</v>
      </c>
    </row>
    <row r="695" spans="1:1" x14ac:dyDescent="0.35">
      <c r="A695" t="s">
        <v>4801</v>
      </c>
    </row>
    <row r="696" spans="1:1" x14ac:dyDescent="0.35">
      <c r="A696" t="s">
        <v>4802</v>
      </c>
    </row>
    <row r="697" spans="1:1" x14ac:dyDescent="0.35">
      <c r="A697" t="s">
        <v>4803</v>
      </c>
    </row>
    <row r="698" spans="1:1" x14ac:dyDescent="0.35">
      <c r="A698" t="s">
        <v>4804</v>
      </c>
    </row>
    <row r="699" spans="1:1" x14ac:dyDescent="0.35">
      <c r="A699" t="s">
        <v>4805</v>
      </c>
    </row>
    <row r="700" spans="1:1" x14ac:dyDescent="0.35">
      <c r="A700" t="s">
        <v>4806</v>
      </c>
    </row>
    <row r="701" spans="1:1" x14ac:dyDescent="0.35">
      <c r="A701" t="s">
        <v>4807</v>
      </c>
    </row>
    <row r="702" spans="1:1" x14ac:dyDescent="0.35">
      <c r="A702" t="s">
        <v>4808</v>
      </c>
    </row>
    <row r="703" spans="1:1" x14ac:dyDescent="0.35">
      <c r="A703" t="s">
        <v>4809</v>
      </c>
    </row>
    <row r="704" spans="1:1" x14ac:dyDescent="0.35">
      <c r="A704" t="s">
        <v>4810</v>
      </c>
    </row>
    <row r="705" spans="1:1" x14ac:dyDescent="0.35">
      <c r="A705" t="s">
        <v>4811</v>
      </c>
    </row>
    <row r="706" spans="1:1" x14ac:dyDescent="0.35">
      <c r="A706" t="s">
        <v>4812</v>
      </c>
    </row>
    <row r="707" spans="1:1" x14ac:dyDescent="0.35">
      <c r="A707" t="s">
        <v>4813</v>
      </c>
    </row>
    <row r="708" spans="1:1" x14ac:dyDescent="0.35">
      <c r="A708" t="s">
        <v>4814</v>
      </c>
    </row>
    <row r="709" spans="1:1" x14ac:dyDescent="0.35">
      <c r="A709" t="s">
        <v>4815</v>
      </c>
    </row>
    <row r="710" spans="1:1" x14ac:dyDescent="0.35">
      <c r="A710" t="s">
        <v>4816</v>
      </c>
    </row>
    <row r="711" spans="1:1" x14ac:dyDescent="0.35">
      <c r="A711" t="s">
        <v>4817</v>
      </c>
    </row>
    <row r="712" spans="1:1" x14ac:dyDescent="0.35">
      <c r="A712" t="s">
        <v>4818</v>
      </c>
    </row>
    <row r="713" spans="1:1" x14ac:dyDescent="0.35">
      <c r="A713" t="s">
        <v>4819</v>
      </c>
    </row>
    <row r="714" spans="1:1" x14ac:dyDescent="0.35">
      <c r="A714" t="s">
        <v>4820</v>
      </c>
    </row>
    <row r="715" spans="1:1" x14ac:dyDescent="0.35">
      <c r="A715" t="s">
        <v>4821</v>
      </c>
    </row>
    <row r="716" spans="1:1" x14ac:dyDescent="0.35">
      <c r="A716" t="s">
        <v>4822</v>
      </c>
    </row>
    <row r="717" spans="1:1" x14ac:dyDescent="0.35">
      <c r="A717" t="s">
        <v>4823</v>
      </c>
    </row>
    <row r="718" spans="1:1" x14ac:dyDescent="0.35">
      <c r="A718" t="s">
        <v>4824</v>
      </c>
    </row>
    <row r="719" spans="1:1" x14ac:dyDescent="0.35">
      <c r="A719" t="s">
        <v>4825</v>
      </c>
    </row>
    <row r="720" spans="1:1" x14ac:dyDescent="0.35">
      <c r="A720" t="s">
        <v>4826</v>
      </c>
    </row>
    <row r="721" spans="1:1" x14ac:dyDescent="0.35">
      <c r="A721" t="s">
        <v>4827</v>
      </c>
    </row>
    <row r="722" spans="1:1" x14ac:dyDescent="0.35">
      <c r="A722" t="s">
        <v>4828</v>
      </c>
    </row>
    <row r="723" spans="1:1" x14ac:dyDescent="0.35">
      <c r="A723" t="s">
        <v>4829</v>
      </c>
    </row>
    <row r="724" spans="1:1" x14ac:dyDescent="0.35">
      <c r="A724" t="s">
        <v>4830</v>
      </c>
    </row>
    <row r="725" spans="1:1" x14ac:dyDescent="0.35">
      <c r="A725" t="s">
        <v>4831</v>
      </c>
    </row>
    <row r="726" spans="1:1" x14ac:dyDescent="0.35">
      <c r="A726" t="s">
        <v>4832</v>
      </c>
    </row>
    <row r="727" spans="1:1" x14ac:dyDescent="0.35">
      <c r="A727" t="s">
        <v>4833</v>
      </c>
    </row>
    <row r="728" spans="1:1" x14ac:dyDescent="0.35">
      <c r="A728" t="s">
        <v>4834</v>
      </c>
    </row>
    <row r="729" spans="1:1" x14ac:dyDescent="0.35">
      <c r="A729" t="s">
        <v>4835</v>
      </c>
    </row>
    <row r="730" spans="1:1" x14ac:dyDescent="0.35">
      <c r="A730" t="s">
        <v>4836</v>
      </c>
    </row>
    <row r="731" spans="1:1" x14ac:dyDescent="0.35">
      <c r="A731" t="s">
        <v>4837</v>
      </c>
    </row>
    <row r="732" spans="1:1" x14ac:dyDescent="0.35">
      <c r="A732" t="s">
        <v>4838</v>
      </c>
    </row>
    <row r="733" spans="1:1" x14ac:dyDescent="0.35">
      <c r="A733" t="s">
        <v>4839</v>
      </c>
    </row>
    <row r="734" spans="1:1" x14ac:dyDescent="0.35">
      <c r="A734" t="s">
        <v>4840</v>
      </c>
    </row>
    <row r="735" spans="1:1" x14ac:dyDescent="0.35">
      <c r="A735" t="s">
        <v>4841</v>
      </c>
    </row>
    <row r="736" spans="1:1" x14ac:dyDescent="0.35">
      <c r="A736" t="s">
        <v>4842</v>
      </c>
    </row>
    <row r="737" spans="1:1" x14ac:dyDescent="0.35">
      <c r="A737" t="s">
        <v>4843</v>
      </c>
    </row>
    <row r="738" spans="1:1" x14ac:dyDescent="0.35">
      <c r="A738" t="s">
        <v>4844</v>
      </c>
    </row>
    <row r="739" spans="1:1" x14ac:dyDescent="0.35">
      <c r="A739" t="s">
        <v>4845</v>
      </c>
    </row>
    <row r="740" spans="1:1" x14ac:dyDescent="0.35">
      <c r="A740" t="s">
        <v>4846</v>
      </c>
    </row>
    <row r="741" spans="1:1" x14ac:dyDescent="0.35">
      <c r="A741" t="s">
        <v>4847</v>
      </c>
    </row>
    <row r="742" spans="1:1" x14ac:dyDescent="0.35">
      <c r="A742" t="s">
        <v>4848</v>
      </c>
    </row>
    <row r="743" spans="1:1" x14ac:dyDescent="0.35">
      <c r="A743" t="s">
        <v>4849</v>
      </c>
    </row>
    <row r="744" spans="1:1" x14ac:dyDescent="0.35">
      <c r="A744" t="s">
        <v>4850</v>
      </c>
    </row>
    <row r="745" spans="1:1" x14ac:dyDescent="0.35">
      <c r="A745" t="s">
        <v>4851</v>
      </c>
    </row>
    <row r="746" spans="1:1" x14ac:dyDescent="0.35">
      <c r="A746" t="s">
        <v>4852</v>
      </c>
    </row>
    <row r="747" spans="1:1" x14ac:dyDescent="0.35">
      <c r="A747" t="s">
        <v>4853</v>
      </c>
    </row>
    <row r="748" spans="1:1" x14ac:dyDescent="0.35">
      <c r="A748" t="s">
        <v>4854</v>
      </c>
    </row>
    <row r="749" spans="1:1" x14ac:dyDescent="0.35">
      <c r="A749" t="s">
        <v>4855</v>
      </c>
    </row>
    <row r="750" spans="1:1" x14ac:dyDescent="0.35">
      <c r="A750" t="s">
        <v>4856</v>
      </c>
    </row>
    <row r="751" spans="1:1" x14ac:dyDescent="0.35">
      <c r="A751" t="s">
        <v>4857</v>
      </c>
    </row>
    <row r="752" spans="1:1" x14ac:dyDescent="0.35">
      <c r="A752" t="s">
        <v>4858</v>
      </c>
    </row>
    <row r="753" spans="1:1" x14ac:dyDescent="0.35">
      <c r="A753" t="s">
        <v>4859</v>
      </c>
    </row>
    <row r="754" spans="1:1" x14ac:dyDescent="0.35">
      <c r="A754" t="s">
        <v>4860</v>
      </c>
    </row>
    <row r="755" spans="1:1" x14ac:dyDescent="0.35">
      <c r="A755" t="s">
        <v>4861</v>
      </c>
    </row>
    <row r="756" spans="1:1" x14ac:dyDescent="0.35">
      <c r="A756" t="s">
        <v>4862</v>
      </c>
    </row>
    <row r="757" spans="1:1" x14ac:dyDescent="0.35">
      <c r="A757" t="s">
        <v>4863</v>
      </c>
    </row>
    <row r="758" spans="1:1" x14ac:dyDescent="0.35">
      <c r="A758" t="s">
        <v>4864</v>
      </c>
    </row>
    <row r="759" spans="1:1" x14ac:dyDescent="0.35">
      <c r="A759" t="s">
        <v>4865</v>
      </c>
    </row>
    <row r="760" spans="1:1" x14ac:dyDescent="0.35">
      <c r="A760" t="s">
        <v>4866</v>
      </c>
    </row>
    <row r="761" spans="1:1" x14ac:dyDescent="0.35">
      <c r="A761" t="s">
        <v>4867</v>
      </c>
    </row>
    <row r="762" spans="1:1" x14ac:dyDescent="0.35">
      <c r="A762" t="s">
        <v>4868</v>
      </c>
    </row>
    <row r="763" spans="1:1" x14ac:dyDescent="0.35">
      <c r="A763" t="s">
        <v>4869</v>
      </c>
    </row>
    <row r="764" spans="1:1" x14ac:dyDescent="0.35">
      <c r="A764" t="s">
        <v>4870</v>
      </c>
    </row>
    <row r="765" spans="1:1" x14ac:dyDescent="0.35">
      <c r="A765" t="s">
        <v>4871</v>
      </c>
    </row>
    <row r="766" spans="1:1" x14ac:dyDescent="0.35">
      <c r="A766" t="s">
        <v>4872</v>
      </c>
    </row>
    <row r="767" spans="1:1" x14ac:dyDescent="0.35">
      <c r="A767" t="s">
        <v>4873</v>
      </c>
    </row>
    <row r="768" spans="1:1" x14ac:dyDescent="0.35">
      <c r="A768" t="s">
        <v>4874</v>
      </c>
    </row>
    <row r="769" spans="1:1" x14ac:dyDescent="0.35">
      <c r="A769" t="s">
        <v>4875</v>
      </c>
    </row>
    <row r="770" spans="1:1" x14ac:dyDescent="0.35">
      <c r="A770" t="s">
        <v>4876</v>
      </c>
    </row>
    <row r="771" spans="1:1" x14ac:dyDescent="0.35">
      <c r="A771" t="s">
        <v>4877</v>
      </c>
    </row>
    <row r="772" spans="1:1" x14ac:dyDescent="0.35">
      <c r="A772" t="s">
        <v>4878</v>
      </c>
    </row>
    <row r="773" spans="1:1" x14ac:dyDescent="0.35">
      <c r="A773" t="s">
        <v>4879</v>
      </c>
    </row>
    <row r="774" spans="1:1" x14ac:dyDescent="0.35">
      <c r="A774" t="s">
        <v>4880</v>
      </c>
    </row>
    <row r="775" spans="1:1" x14ac:dyDescent="0.35">
      <c r="A775" t="s">
        <v>4881</v>
      </c>
    </row>
    <row r="776" spans="1:1" x14ac:dyDescent="0.35">
      <c r="A776" t="s">
        <v>4882</v>
      </c>
    </row>
    <row r="777" spans="1:1" x14ac:dyDescent="0.35">
      <c r="A777" t="s">
        <v>4883</v>
      </c>
    </row>
    <row r="778" spans="1:1" x14ac:dyDescent="0.35">
      <c r="A778" t="s">
        <v>4884</v>
      </c>
    </row>
    <row r="779" spans="1:1" x14ac:dyDescent="0.35">
      <c r="A779" t="s">
        <v>4885</v>
      </c>
    </row>
    <row r="780" spans="1:1" x14ac:dyDescent="0.35">
      <c r="A780" t="s">
        <v>4886</v>
      </c>
    </row>
    <row r="781" spans="1:1" x14ac:dyDescent="0.35">
      <c r="A781" t="s">
        <v>4887</v>
      </c>
    </row>
    <row r="782" spans="1:1" x14ac:dyDescent="0.35">
      <c r="A782" t="s">
        <v>4888</v>
      </c>
    </row>
    <row r="783" spans="1:1" x14ac:dyDescent="0.35">
      <c r="A783" t="s">
        <v>4889</v>
      </c>
    </row>
    <row r="784" spans="1:1" x14ac:dyDescent="0.35">
      <c r="A784" t="s">
        <v>4890</v>
      </c>
    </row>
    <row r="785" spans="1:1" x14ac:dyDescent="0.35">
      <c r="A785" t="s">
        <v>4891</v>
      </c>
    </row>
    <row r="786" spans="1:1" x14ac:dyDescent="0.35">
      <c r="A786" t="s">
        <v>4892</v>
      </c>
    </row>
    <row r="787" spans="1:1" x14ac:dyDescent="0.35">
      <c r="A787" t="s">
        <v>4893</v>
      </c>
    </row>
    <row r="788" spans="1:1" x14ac:dyDescent="0.35">
      <c r="A788" t="s">
        <v>4894</v>
      </c>
    </row>
    <row r="789" spans="1:1" x14ac:dyDescent="0.35">
      <c r="A789" t="s">
        <v>4895</v>
      </c>
    </row>
    <row r="790" spans="1:1" x14ac:dyDescent="0.35">
      <c r="A790" t="s">
        <v>4896</v>
      </c>
    </row>
    <row r="791" spans="1:1" x14ac:dyDescent="0.35">
      <c r="A791" t="s">
        <v>4897</v>
      </c>
    </row>
    <row r="792" spans="1:1" x14ac:dyDescent="0.35">
      <c r="A792" t="s">
        <v>4898</v>
      </c>
    </row>
    <row r="793" spans="1:1" x14ac:dyDescent="0.35">
      <c r="A793" t="s">
        <v>4899</v>
      </c>
    </row>
    <row r="794" spans="1:1" x14ac:dyDescent="0.35">
      <c r="A794" t="s">
        <v>4900</v>
      </c>
    </row>
    <row r="795" spans="1:1" x14ac:dyDescent="0.35">
      <c r="A795" t="s">
        <v>4901</v>
      </c>
    </row>
    <row r="796" spans="1:1" x14ac:dyDescent="0.35">
      <c r="A796" t="s">
        <v>4902</v>
      </c>
    </row>
    <row r="797" spans="1:1" x14ac:dyDescent="0.35">
      <c r="A797" t="s">
        <v>4903</v>
      </c>
    </row>
    <row r="798" spans="1:1" x14ac:dyDescent="0.35">
      <c r="A798" t="s">
        <v>4904</v>
      </c>
    </row>
    <row r="799" spans="1:1" x14ac:dyDescent="0.35">
      <c r="A799" t="s">
        <v>4905</v>
      </c>
    </row>
    <row r="800" spans="1:1" x14ac:dyDescent="0.35">
      <c r="A800" t="s">
        <v>4906</v>
      </c>
    </row>
    <row r="801" spans="1:1" x14ac:dyDescent="0.35">
      <c r="A801" t="s">
        <v>4907</v>
      </c>
    </row>
    <row r="802" spans="1:1" x14ac:dyDescent="0.35">
      <c r="A802" t="s">
        <v>4908</v>
      </c>
    </row>
    <row r="803" spans="1:1" x14ac:dyDescent="0.35">
      <c r="A803" t="s">
        <v>4909</v>
      </c>
    </row>
    <row r="804" spans="1:1" x14ac:dyDescent="0.35">
      <c r="A804" t="s">
        <v>4910</v>
      </c>
    </row>
    <row r="805" spans="1:1" x14ac:dyDescent="0.35">
      <c r="A805" t="s">
        <v>4911</v>
      </c>
    </row>
    <row r="806" spans="1:1" x14ac:dyDescent="0.35">
      <c r="A806" t="s">
        <v>4912</v>
      </c>
    </row>
    <row r="807" spans="1:1" x14ac:dyDescent="0.35">
      <c r="A807" t="s">
        <v>4913</v>
      </c>
    </row>
    <row r="808" spans="1:1" x14ac:dyDescent="0.35">
      <c r="A808" t="s">
        <v>4914</v>
      </c>
    </row>
    <row r="809" spans="1:1" x14ac:dyDescent="0.35">
      <c r="A809" t="s">
        <v>4915</v>
      </c>
    </row>
    <row r="810" spans="1:1" x14ac:dyDescent="0.35">
      <c r="A810" t="s">
        <v>4916</v>
      </c>
    </row>
    <row r="811" spans="1:1" x14ac:dyDescent="0.35">
      <c r="A811" t="s">
        <v>4917</v>
      </c>
    </row>
    <row r="812" spans="1:1" x14ac:dyDescent="0.35">
      <c r="A812" t="s">
        <v>4918</v>
      </c>
    </row>
    <row r="813" spans="1:1" x14ac:dyDescent="0.35">
      <c r="A813" t="s">
        <v>4919</v>
      </c>
    </row>
    <row r="814" spans="1:1" x14ac:dyDescent="0.35">
      <c r="A814" t="s">
        <v>4920</v>
      </c>
    </row>
    <row r="815" spans="1:1" x14ac:dyDescent="0.35">
      <c r="A815" t="s">
        <v>4921</v>
      </c>
    </row>
    <row r="816" spans="1:1" x14ac:dyDescent="0.35">
      <c r="A816" t="s">
        <v>4922</v>
      </c>
    </row>
    <row r="817" spans="1:1" x14ac:dyDescent="0.35">
      <c r="A817" t="s">
        <v>4923</v>
      </c>
    </row>
    <row r="818" spans="1:1" x14ac:dyDescent="0.35">
      <c r="A818" t="s">
        <v>4924</v>
      </c>
    </row>
    <row r="819" spans="1:1" x14ac:dyDescent="0.35">
      <c r="A819" t="s">
        <v>4925</v>
      </c>
    </row>
    <row r="820" spans="1:1" x14ac:dyDescent="0.35">
      <c r="A820" t="s">
        <v>4926</v>
      </c>
    </row>
    <row r="821" spans="1:1" x14ac:dyDescent="0.35">
      <c r="A821" t="s">
        <v>4927</v>
      </c>
    </row>
    <row r="822" spans="1:1" x14ac:dyDescent="0.35">
      <c r="A822" t="s">
        <v>4928</v>
      </c>
    </row>
    <row r="823" spans="1:1" x14ac:dyDescent="0.35">
      <c r="A823" t="s">
        <v>4929</v>
      </c>
    </row>
    <row r="824" spans="1:1" x14ac:dyDescent="0.35">
      <c r="A824" t="s">
        <v>4930</v>
      </c>
    </row>
    <row r="825" spans="1:1" x14ac:dyDescent="0.35">
      <c r="A825" t="s">
        <v>4931</v>
      </c>
    </row>
    <row r="826" spans="1:1" x14ac:dyDescent="0.35">
      <c r="A826" t="s">
        <v>4932</v>
      </c>
    </row>
    <row r="827" spans="1:1" x14ac:dyDescent="0.35">
      <c r="A827" t="s">
        <v>4933</v>
      </c>
    </row>
    <row r="828" spans="1:1" x14ac:dyDescent="0.35">
      <c r="A828" t="s">
        <v>4934</v>
      </c>
    </row>
    <row r="829" spans="1:1" x14ac:dyDescent="0.35">
      <c r="A829" t="s">
        <v>4935</v>
      </c>
    </row>
    <row r="830" spans="1:1" x14ac:dyDescent="0.35">
      <c r="A830" t="s">
        <v>4936</v>
      </c>
    </row>
    <row r="831" spans="1:1" x14ac:dyDescent="0.35">
      <c r="A831" t="s">
        <v>4937</v>
      </c>
    </row>
    <row r="832" spans="1:1" x14ac:dyDescent="0.35">
      <c r="A832" t="s">
        <v>4938</v>
      </c>
    </row>
    <row r="833" spans="1:1" x14ac:dyDescent="0.35">
      <c r="A833" t="s">
        <v>4939</v>
      </c>
    </row>
    <row r="834" spans="1:1" x14ac:dyDescent="0.35">
      <c r="A834" t="s">
        <v>4940</v>
      </c>
    </row>
    <row r="835" spans="1:1" x14ac:dyDescent="0.35">
      <c r="A835" t="s">
        <v>4941</v>
      </c>
    </row>
    <row r="836" spans="1:1" x14ac:dyDescent="0.35">
      <c r="A836" t="s">
        <v>4942</v>
      </c>
    </row>
    <row r="837" spans="1:1" x14ac:dyDescent="0.35">
      <c r="A837" t="s">
        <v>4943</v>
      </c>
    </row>
    <row r="838" spans="1:1" x14ac:dyDescent="0.35">
      <c r="A838" t="s">
        <v>4944</v>
      </c>
    </row>
    <row r="839" spans="1:1" x14ac:dyDescent="0.35">
      <c r="A839" t="s">
        <v>4945</v>
      </c>
    </row>
    <row r="840" spans="1:1" x14ac:dyDescent="0.35">
      <c r="A840" t="s">
        <v>4946</v>
      </c>
    </row>
    <row r="841" spans="1:1" x14ac:dyDescent="0.35">
      <c r="A841" t="s">
        <v>4947</v>
      </c>
    </row>
    <row r="842" spans="1:1" x14ac:dyDescent="0.35">
      <c r="A842" t="s">
        <v>4948</v>
      </c>
    </row>
    <row r="843" spans="1:1" x14ac:dyDescent="0.35">
      <c r="A843" t="s">
        <v>4949</v>
      </c>
    </row>
    <row r="844" spans="1:1" x14ac:dyDescent="0.35">
      <c r="A844" t="s">
        <v>4950</v>
      </c>
    </row>
    <row r="845" spans="1:1" x14ac:dyDescent="0.35">
      <c r="A845" t="s">
        <v>4951</v>
      </c>
    </row>
    <row r="846" spans="1:1" x14ac:dyDescent="0.35">
      <c r="A846" t="s">
        <v>4952</v>
      </c>
    </row>
    <row r="847" spans="1:1" x14ac:dyDescent="0.35">
      <c r="A847" t="s">
        <v>4953</v>
      </c>
    </row>
    <row r="848" spans="1:1" x14ac:dyDescent="0.35">
      <c r="A848" t="s">
        <v>4954</v>
      </c>
    </row>
    <row r="849" spans="1:1" x14ac:dyDescent="0.35">
      <c r="A849" t="s">
        <v>4955</v>
      </c>
    </row>
    <row r="850" spans="1:1" x14ac:dyDescent="0.35">
      <c r="A850" t="s">
        <v>4956</v>
      </c>
    </row>
    <row r="851" spans="1:1" x14ac:dyDescent="0.35">
      <c r="A851" t="s">
        <v>4957</v>
      </c>
    </row>
    <row r="852" spans="1:1" x14ac:dyDescent="0.35">
      <c r="A852" t="s">
        <v>4958</v>
      </c>
    </row>
    <row r="853" spans="1:1" x14ac:dyDescent="0.35">
      <c r="A853" t="s">
        <v>4959</v>
      </c>
    </row>
    <row r="854" spans="1:1" x14ac:dyDescent="0.35">
      <c r="A854" t="s">
        <v>4960</v>
      </c>
    </row>
    <row r="855" spans="1:1" x14ac:dyDescent="0.35">
      <c r="A855" t="s">
        <v>4961</v>
      </c>
    </row>
    <row r="856" spans="1:1" x14ac:dyDescent="0.35">
      <c r="A856" t="s">
        <v>4962</v>
      </c>
    </row>
    <row r="857" spans="1:1" x14ac:dyDescent="0.35">
      <c r="A857" t="s">
        <v>4963</v>
      </c>
    </row>
    <row r="858" spans="1:1" x14ac:dyDescent="0.35">
      <c r="A858" t="s">
        <v>4964</v>
      </c>
    </row>
    <row r="859" spans="1:1" x14ac:dyDescent="0.35">
      <c r="A859" t="s">
        <v>4965</v>
      </c>
    </row>
    <row r="860" spans="1:1" x14ac:dyDescent="0.35">
      <c r="A860" t="s">
        <v>4966</v>
      </c>
    </row>
    <row r="861" spans="1:1" x14ac:dyDescent="0.35">
      <c r="A861" t="s">
        <v>4967</v>
      </c>
    </row>
    <row r="862" spans="1:1" x14ac:dyDescent="0.35">
      <c r="A862" t="s">
        <v>4968</v>
      </c>
    </row>
    <row r="863" spans="1:1" x14ac:dyDescent="0.35">
      <c r="A863" t="s">
        <v>4969</v>
      </c>
    </row>
    <row r="864" spans="1:1" x14ac:dyDescent="0.35">
      <c r="A864" t="s">
        <v>4970</v>
      </c>
    </row>
    <row r="865" spans="1:1" x14ac:dyDescent="0.35">
      <c r="A865" t="s">
        <v>4971</v>
      </c>
    </row>
    <row r="866" spans="1:1" x14ac:dyDescent="0.35">
      <c r="A866" t="s">
        <v>4972</v>
      </c>
    </row>
    <row r="867" spans="1:1" x14ac:dyDescent="0.35">
      <c r="A867" t="s">
        <v>4973</v>
      </c>
    </row>
    <row r="868" spans="1:1" x14ac:dyDescent="0.35">
      <c r="A868" t="s">
        <v>4974</v>
      </c>
    </row>
    <row r="869" spans="1:1" x14ac:dyDescent="0.35">
      <c r="A869" t="s">
        <v>4975</v>
      </c>
    </row>
    <row r="870" spans="1:1" x14ac:dyDescent="0.35">
      <c r="A870" t="s">
        <v>4976</v>
      </c>
    </row>
    <row r="871" spans="1:1" x14ac:dyDescent="0.35">
      <c r="A871" t="s">
        <v>4977</v>
      </c>
    </row>
    <row r="872" spans="1:1" x14ac:dyDescent="0.35">
      <c r="A872" t="s">
        <v>4978</v>
      </c>
    </row>
    <row r="873" spans="1:1" x14ac:dyDescent="0.35">
      <c r="A873" t="s">
        <v>4979</v>
      </c>
    </row>
    <row r="874" spans="1:1" x14ac:dyDescent="0.35">
      <c r="A874" t="s">
        <v>4980</v>
      </c>
    </row>
    <row r="875" spans="1:1" x14ac:dyDescent="0.35">
      <c r="A875" t="s">
        <v>4981</v>
      </c>
    </row>
    <row r="876" spans="1:1" x14ac:dyDescent="0.35">
      <c r="A876" t="s">
        <v>4982</v>
      </c>
    </row>
    <row r="877" spans="1:1" x14ac:dyDescent="0.35">
      <c r="A877" t="s">
        <v>4983</v>
      </c>
    </row>
    <row r="878" spans="1:1" x14ac:dyDescent="0.35">
      <c r="A878" t="s">
        <v>4984</v>
      </c>
    </row>
    <row r="879" spans="1:1" x14ac:dyDescent="0.35">
      <c r="A879" t="s">
        <v>4985</v>
      </c>
    </row>
    <row r="880" spans="1:1" x14ac:dyDescent="0.35">
      <c r="A880" t="s">
        <v>4986</v>
      </c>
    </row>
    <row r="881" spans="1:1" x14ac:dyDescent="0.35">
      <c r="A881" t="s">
        <v>4987</v>
      </c>
    </row>
    <row r="882" spans="1:1" x14ac:dyDescent="0.35">
      <c r="A882" t="s">
        <v>4988</v>
      </c>
    </row>
    <row r="883" spans="1:1" x14ac:dyDescent="0.35">
      <c r="A883" t="s">
        <v>4989</v>
      </c>
    </row>
    <row r="884" spans="1:1" x14ac:dyDescent="0.35">
      <c r="A884" t="s">
        <v>4990</v>
      </c>
    </row>
    <row r="885" spans="1:1" x14ac:dyDescent="0.35">
      <c r="A885" t="s">
        <v>4991</v>
      </c>
    </row>
    <row r="886" spans="1:1" x14ac:dyDescent="0.35">
      <c r="A886" t="s">
        <v>4992</v>
      </c>
    </row>
    <row r="887" spans="1:1" x14ac:dyDescent="0.35">
      <c r="A887" t="s">
        <v>4993</v>
      </c>
    </row>
    <row r="888" spans="1:1" x14ac:dyDescent="0.35">
      <c r="A888" t="s">
        <v>4994</v>
      </c>
    </row>
    <row r="889" spans="1:1" x14ac:dyDescent="0.35">
      <c r="A889" t="s">
        <v>4995</v>
      </c>
    </row>
    <row r="890" spans="1:1" x14ac:dyDescent="0.35">
      <c r="A890" t="s">
        <v>4996</v>
      </c>
    </row>
    <row r="891" spans="1:1" x14ac:dyDescent="0.35">
      <c r="A891" t="s">
        <v>4997</v>
      </c>
    </row>
    <row r="892" spans="1:1" x14ac:dyDescent="0.35">
      <c r="A892" t="s">
        <v>4998</v>
      </c>
    </row>
    <row r="893" spans="1:1" x14ac:dyDescent="0.35">
      <c r="A893" t="s">
        <v>4999</v>
      </c>
    </row>
    <row r="894" spans="1:1" x14ac:dyDescent="0.35">
      <c r="A894" t="s">
        <v>5000</v>
      </c>
    </row>
    <row r="895" spans="1:1" x14ac:dyDescent="0.35">
      <c r="A895" t="s">
        <v>5001</v>
      </c>
    </row>
    <row r="896" spans="1:1" x14ac:dyDescent="0.35">
      <c r="A896" t="s">
        <v>5002</v>
      </c>
    </row>
    <row r="897" spans="1:1" x14ac:dyDescent="0.35">
      <c r="A897" t="s">
        <v>5003</v>
      </c>
    </row>
    <row r="898" spans="1:1" x14ac:dyDescent="0.35">
      <c r="A898" t="s">
        <v>5004</v>
      </c>
    </row>
    <row r="899" spans="1:1" x14ac:dyDescent="0.35">
      <c r="A899" t="s">
        <v>5005</v>
      </c>
    </row>
    <row r="900" spans="1:1" x14ac:dyDescent="0.35">
      <c r="A900" t="s">
        <v>5006</v>
      </c>
    </row>
    <row r="901" spans="1:1" x14ac:dyDescent="0.35">
      <c r="A901" t="s">
        <v>5007</v>
      </c>
    </row>
    <row r="902" spans="1:1" x14ac:dyDescent="0.35">
      <c r="A902" t="s">
        <v>5008</v>
      </c>
    </row>
    <row r="903" spans="1:1" x14ac:dyDescent="0.35">
      <c r="A903" t="s">
        <v>5009</v>
      </c>
    </row>
    <row r="904" spans="1:1" x14ac:dyDescent="0.35">
      <c r="A904" t="s">
        <v>5010</v>
      </c>
    </row>
    <row r="905" spans="1:1" x14ac:dyDescent="0.35">
      <c r="A905" t="s">
        <v>5011</v>
      </c>
    </row>
    <row r="906" spans="1:1" x14ac:dyDescent="0.35">
      <c r="A906" t="s">
        <v>5012</v>
      </c>
    </row>
    <row r="907" spans="1:1" x14ac:dyDescent="0.35">
      <c r="A907" t="s">
        <v>5013</v>
      </c>
    </row>
    <row r="908" spans="1:1" x14ac:dyDescent="0.35">
      <c r="A908" t="s">
        <v>5014</v>
      </c>
    </row>
    <row r="909" spans="1:1" x14ac:dyDescent="0.35">
      <c r="A909" t="s">
        <v>5015</v>
      </c>
    </row>
    <row r="910" spans="1:1" x14ac:dyDescent="0.35">
      <c r="A910" t="s">
        <v>5016</v>
      </c>
    </row>
    <row r="911" spans="1:1" x14ac:dyDescent="0.35">
      <c r="A911" t="s">
        <v>5017</v>
      </c>
    </row>
    <row r="912" spans="1:1" x14ac:dyDescent="0.35">
      <c r="A912" t="s">
        <v>5018</v>
      </c>
    </row>
    <row r="913" spans="1:1" x14ac:dyDescent="0.35">
      <c r="A913" t="s">
        <v>5019</v>
      </c>
    </row>
    <row r="914" spans="1:1" x14ac:dyDescent="0.35">
      <c r="A914" t="s">
        <v>5020</v>
      </c>
    </row>
    <row r="915" spans="1:1" x14ac:dyDescent="0.35">
      <c r="A915" t="s">
        <v>5021</v>
      </c>
    </row>
    <row r="916" spans="1:1" x14ac:dyDescent="0.35">
      <c r="A916" t="s">
        <v>5022</v>
      </c>
    </row>
    <row r="917" spans="1:1" x14ac:dyDescent="0.35">
      <c r="A917" t="s">
        <v>5023</v>
      </c>
    </row>
    <row r="918" spans="1:1" x14ac:dyDescent="0.35">
      <c r="A918" t="s">
        <v>5024</v>
      </c>
    </row>
    <row r="919" spans="1:1" x14ac:dyDescent="0.35">
      <c r="A919" t="s">
        <v>5025</v>
      </c>
    </row>
    <row r="920" spans="1:1" x14ac:dyDescent="0.35">
      <c r="A920" t="s">
        <v>5026</v>
      </c>
    </row>
    <row r="921" spans="1:1" x14ac:dyDescent="0.35">
      <c r="A921" t="s">
        <v>5027</v>
      </c>
    </row>
    <row r="922" spans="1:1" x14ac:dyDescent="0.35">
      <c r="A922" t="s">
        <v>5028</v>
      </c>
    </row>
    <row r="923" spans="1:1" x14ac:dyDescent="0.35">
      <c r="A923" t="s">
        <v>5029</v>
      </c>
    </row>
    <row r="924" spans="1:1" x14ac:dyDescent="0.35">
      <c r="A924" t="s">
        <v>5030</v>
      </c>
    </row>
    <row r="925" spans="1:1" x14ac:dyDescent="0.35">
      <c r="A925" t="s">
        <v>5031</v>
      </c>
    </row>
    <row r="926" spans="1:1" x14ac:dyDescent="0.35">
      <c r="A926" t="s">
        <v>5032</v>
      </c>
    </row>
    <row r="927" spans="1:1" x14ac:dyDescent="0.35">
      <c r="A927" t="s">
        <v>5033</v>
      </c>
    </row>
    <row r="928" spans="1:1" x14ac:dyDescent="0.35">
      <c r="A928" t="s">
        <v>5034</v>
      </c>
    </row>
    <row r="929" spans="1:1" x14ac:dyDescent="0.35">
      <c r="A929" t="s">
        <v>5035</v>
      </c>
    </row>
    <row r="930" spans="1:1" x14ac:dyDescent="0.35">
      <c r="A930" t="s">
        <v>5036</v>
      </c>
    </row>
    <row r="931" spans="1:1" x14ac:dyDescent="0.35">
      <c r="A931" t="s">
        <v>5037</v>
      </c>
    </row>
    <row r="932" spans="1:1" x14ac:dyDescent="0.35">
      <c r="A932" t="s">
        <v>5038</v>
      </c>
    </row>
    <row r="933" spans="1:1" x14ac:dyDescent="0.35">
      <c r="A933" t="s">
        <v>5039</v>
      </c>
    </row>
    <row r="934" spans="1:1" x14ac:dyDescent="0.35">
      <c r="A934" t="s">
        <v>5040</v>
      </c>
    </row>
    <row r="935" spans="1:1" x14ac:dyDescent="0.35">
      <c r="A935" t="s">
        <v>5041</v>
      </c>
    </row>
    <row r="936" spans="1:1" x14ac:dyDescent="0.35">
      <c r="A936" t="s">
        <v>5042</v>
      </c>
    </row>
    <row r="937" spans="1:1" x14ac:dyDescent="0.35">
      <c r="A937" t="s">
        <v>5043</v>
      </c>
    </row>
    <row r="938" spans="1:1" x14ac:dyDescent="0.35">
      <c r="A938" t="s">
        <v>5044</v>
      </c>
    </row>
    <row r="939" spans="1:1" x14ac:dyDescent="0.35">
      <c r="A939" t="s">
        <v>5045</v>
      </c>
    </row>
    <row r="940" spans="1:1" x14ac:dyDescent="0.35">
      <c r="A940" t="s">
        <v>5046</v>
      </c>
    </row>
    <row r="941" spans="1:1" x14ac:dyDescent="0.35">
      <c r="A941" t="s">
        <v>5047</v>
      </c>
    </row>
    <row r="942" spans="1:1" x14ac:dyDescent="0.35">
      <c r="A942" t="s">
        <v>5048</v>
      </c>
    </row>
    <row r="943" spans="1:1" x14ac:dyDescent="0.35">
      <c r="A943" t="s">
        <v>5049</v>
      </c>
    </row>
    <row r="944" spans="1:1" x14ac:dyDescent="0.35">
      <c r="A944" t="s">
        <v>5050</v>
      </c>
    </row>
    <row r="945" spans="1:1" x14ac:dyDescent="0.35">
      <c r="A945" t="s">
        <v>5051</v>
      </c>
    </row>
    <row r="946" spans="1:1" x14ac:dyDescent="0.35">
      <c r="A946" t="s">
        <v>5052</v>
      </c>
    </row>
    <row r="947" spans="1:1" x14ac:dyDescent="0.35">
      <c r="A947" t="s">
        <v>5053</v>
      </c>
    </row>
    <row r="948" spans="1:1" x14ac:dyDescent="0.35">
      <c r="A948" t="s">
        <v>5054</v>
      </c>
    </row>
    <row r="949" spans="1:1" x14ac:dyDescent="0.35">
      <c r="A949" t="s">
        <v>5055</v>
      </c>
    </row>
    <row r="950" spans="1:1" x14ac:dyDescent="0.35">
      <c r="A950" t="s">
        <v>5056</v>
      </c>
    </row>
    <row r="951" spans="1:1" x14ac:dyDescent="0.35">
      <c r="A951" t="s">
        <v>5057</v>
      </c>
    </row>
    <row r="952" spans="1:1" x14ac:dyDescent="0.35">
      <c r="A952" t="s">
        <v>5058</v>
      </c>
    </row>
    <row r="953" spans="1:1" x14ac:dyDescent="0.35">
      <c r="A953" t="s">
        <v>5059</v>
      </c>
    </row>
    <row r="954" spans="1:1" x14ac:dyDescent="0.35">
      <c r="A954" t="s">
        <v>5060</v>
      </c>
    </row>
    <row r="955" spans="1:1" x14ac:dyDescent="0.35">
      <c r="A955" t="s">
        <v>5061</v>
      </c>
    </row>
    <row r="956" spans="1:1" x14ac:dyDescent="0.35">
      <c r="A956" t="s">
        <v>5062</v>
      </c>
    </row>
    <row r="957" spans="1:1" x14ac:dyDescent="0.35">
      <c r="A957" t="s">
        <v>5063</v>
      </c>
    </row>
    <row r="958" spans="1:1" x14ac:dyDescent="0.35">
      <c r="A958" t="s">
        <v>5064</v>
      </c>
    </row>
    <row r="959" spans="1:1" x14ac:dyDescent="0.35">
      <c r="A959" t="s">
        <v>5065</v>
      </c>
    </row>
    <row r="960" spans="1:1" x14ac:dyDescent="0.35">
      <c r="A960" t="s">
        <v>5066</v>
      </c>
    </row>
    <row r="961" spans="1:1" x14ac:dyDescent="0.35">
      <c r="A961" t="s">
        <v>5067</v>
      </c>
    </row>
    <row r="962" spans="1:1" x14ac:dyDescent="0.35">
      <c r="A962" t="s">
        <v>5068</v>
      </c>
    </row>
    <row r="963" spans="1:1" x14ac:dyDescent="0.35">
      <c r="A963" t="s">
        <v>5069</v>
      </c>
    </row>
    <row r="964" spans="1:1" x14ac:dyDescent="0.35">
      <c r="A964" t="s">
        <v>5070</v>
      </c>
    </row>
    <row r="965" spans="1:1" x14ac:dyDescent="0.35">
      <c r="A965" t="s">
        <v>5071</v>
      </c>
    </row>
    <row r="966" spans="1:1" x14ac:dyDescent="0.35">
      <c r="A966" t="s">
        <v>5072</v>
      </c>
    </row>
    <row r="967" spans="1:1" x14ac:dyDescent="0.35">
      <c r="A967" t="s">
        <v>5073</v>
      </c>
    </row>
    <row r="968" spans="1:1" x14ac:dyDescent="0.35">
      <c r="A968" t="s">
        <v>5074</v>
      </c>
    </row>
    <row r="969" spans="1:1" x14ac:dyDescent="0.35">
      <c r="A969" t="s">
        <v>5075</v>
      </c>
    </row>
    <row r="970" spans="1:1" x14ac:dyDescent="0.35">
      <c r="A970" t="s">
        <v>5076</v>
      </c>
    </row>
    <row r="971" spans="1:1" x14ac:dyDescent="0.35">
      <c r="A971" t="s">
        <v>5077</v>
      </c>
    </row>
    <row r="972" spans="1:1" x14ac:dyDescent="0.35">
      <c r="A972" t="s">
        <v>5078</v>
      </c>
    </row>
    <row r="973" spans="1:1" x14ac:dyDescent="0.35">
      <c r="A973" t="s">
        <v>5079</v>
      </c>
    </row>
    <row r="974" spans="1:1" x14ac:dyDescent="0.35">
      <c r="A974" t="s">
        <v>5080</v>
      </c>
    </row>
    <row r="975" spans="1:1" x14ac:dyDescent="0.35">
      <c r="A975" t="s">
        <v>5081</v>
      </c>
    </row>
    <row r="976" spans="1:1" x14ac:dyDescent="0.35">
      <c r="A976" t="s">
        <v>5082</v>
      </c>
    </row>
    <row r="977" spans="1:1" x14ac:dyDescent="0.35">
      <c r="A977" t="s">
        <v>5083</v>
      </c>
    </row>
    <row r="978" spans="1:1" x14ac:dyDescent="0.35">
      <c r="A978" t="s">
        <v>5084</v>
      </c>
    </row>
    <row r="979" spans="1:1" x14ac:dyDescent="0.35">
      <c r="A979" t="s">
        <v>5085</v>
      </c>
    </row>
    <row r="980" spans="1:1" x14ac:dyDescent="0.35">
      <c r="A980" t="s">
        <v>5086</v>
      </c>
    </row>
    <row r="981" spans="1:1" x14ac:dyDescent="0.35">
      <c r="A981" t="s">
        <v>5087</v>
      </c>
    </row>
    <row r="982" spans="1:1" x14ac:dyDescent="0.35">
      <c r="A982" t="s">
        <v>5088</v>
      </c>
    </row>
    <row r="983" spans="1:1" x14ac:dyDescent="0.35">
      <c r="A983" t="s">
        <v>5089</v>
      </c>
    </row>
    <row r="984" spans="1:1" x14ac:dyDescent="0.35">
      <c r="A984" t="s">
        <v>5090</v>
      </c>
    </row>
    <row r="985" spans="1:1" x14ac:dyDescent="0.35">
      <c r="A985" t="s">
        <v>5091</v>
      </c>
    </row>
    <row r="986" spans="1:1" x14ac:dyDescent="0.35">
      <c r="A986" t="s">
        <v>5092</v>
      </c>
    </row>
    <row r="987" spans="1:1" x14ac:dyDescent="0.35">
      <c r="A987" t="s">
        <v>5093</v>
      </c>
    </row>
    <row r="988" spans="1:1" x14ac:dyDescent="0.35">
      <c r="A988" t="s">
        <v>5094</v>
      </c>
    </row>
    <row r="989" spans="1:1" x14ac:dyDescent="0.35">
      <c r="A989" t="s">
        <v>5095</v>
      </c>
    </row>
    <row r="990" spans="1:1" x14ac:dyDescent="0.35">
      <c r="A990" t="s">
        <v>5096</v>
      </c>
    </row>
    <row r="991" spans="1:1" x14ac:dyDescent="0.35">
      <c r="A991" t="s">
        <v>5097</v>
      </c>
    </row>
    <row r="992" spans="1:1" x14ac:dyDescent="0.35">
      <c r="A992" t="s">
        <v>5098</v>
      </c>
    </row>
    <row r="993" spans="1:1" x14ac:dyDescent="0.35">
      <c r="A993" t="s">
        <v>5099</v>
      </c>
    </row>
    <row r="994" spans="1:1" x14ac:dyDescent="0.35">
      <c r="A994" t="s">
        <v>5100</v>
      </c>
    </row>
    <row r="995" spans="1:1" x14ac:dyDescent="0.35">
      <c r="A995" t="s">
        <v>5101</v>
      </c>
    </row>
    <row r="996" spans="1:1" x14ac:dyDescent="0.35">
      <c r="A996" t="s">
        <v>5102</v>
      </c>
    </row>
    <row r="997" spans="1:1" x14ac:dyDescent="0.35">
      <c r="A997" t="s">
        <v>5103</v>
      </c>
    </row>
    <row r="998" spans="1:1" x14ac:dyDescent="0.35">
      <c r="A998" t="s">
        <v>5104</v>
      </c>
    </row>
    <row r="999" spans="1:1" x14ac:dyDescent="0.35">
      <c r="A999" t="s">
        <v>5105</v>
      </c>
    </row>
    <row r="1000" spans="1:1" x14ac:dyDescent="0.35">
      <c r="A1000" t="s">
        <v>5106</v>
      </c>
    </row>
    <row r="1001" spans="1:1" x14ac:dyDescent="0.35">
      <c r="A1001" t="s">
        <v>5107</v>
      </c>
    </row>
    <row r="1002" spans="1:1" x14ac:dyDescent="0.35">
      <c r="A1002" t="s">
        <v>5108</v>
      </c>
    </row>
    <row r="1003" spans="1:1" x14ac:dyDescent="0.35">
      <c r="A1003" t="s">
        <v>5109</v>
      </c>
    </row>
    <row r="1004" spans="1:1" x14ac:dyDescent="0.35">
      <c r="A1004" t="s">
        <v>5110</v>
      </c>
    </row>
    <row r="1005" spans="1:1" x14ac:dyDescent="0.35">
      <c r="A1005" t="s">
        <v>5111</v>
      </c>
    </row>
    <row r="1006" spans="1:1" x14ac:dyDescent="0.35">
      <c r="A1006" t="s">
        <v>5112</v>
      </c>
    </row>
    <row r="1007" spans="1:1" x14ac:dyDescent="0.35">
      <c r="A1007" t="s">
        <v>5113</v>
      </c>
    </row>
    <row r="1008" spans="1:1" x14ac:dyDescent="0.35">
      <c r="A1008" t="s">
        <v>5114</v>
      </c>
    </row>
    <row r="1009" spans="1:1" x14ac:dyDescent="0.35">
      <c r="A1009" t="s">
        <v>5115</v>
      </c>
    </row>
    <row r="1010" spans="1:1" x14ac:dyDescent="0.35">
      <c r="A1010" t="s">
        <v>5116</v>
      </c>
    </row>
    <row r="1011" spans="1:1" x14ac:dyDescent="0.35">
      <c r="A1011" t="s">
        <v>5117</v>
      </c>
    </row>
    <row r="1012" spans="1:1" x14ac:dyDescent="0.35">
      <c r="A1012" t="s">
        <v>5118</v>
      </c>
    </row>
    <row r="1013" spans="1:1" x14ac:dyDescent="0.35">
      <c r="A1013" t="s">
        <v>5119</v>
      </c>
    </row>
    <row r="1014" spans="1:1" x14ac:dyDescent="0.35">
      <c r="A1014" t="s">
        <v>5120</v>
      </c>
    </row>
    <row r="1015" spans="1:1" x14ac:dyDescent="0.35">
      <c r="A1015" t="s">
        <v>5121</v>
      </c>
    </row>
    <row r="1016" spans="1:1" x14ac:dyDescent="0.35">
      <c r="A1016" t="s">
        <v>5122</v>
      </c>
    </row>
    <row r="1017" spans="1:1" x14ac:dyDescent="0.35">
      <c r="A1017" t="s">
        <v>5123</v>
      </c>
    </row>
    <row r="1018" spans="1:1" x14ac:dyDescent="0.35">
      <c r="A1018" t="s">
        <v>5124</v>
      </c>
    </row>
    <row r="1019" spans="1:1" x14ac:dyDescent="0.35">
      <c r="A1019" t="s">
        <v>5125</v>
      </c>
    </row>
    <row r="1020" spans="1:1" x14ac:dyDescent="0.35">
      <c r="A1020" t="s">
        <v>5126</v>
      </c>
    </row>
    <row r="1021" spans="1:1" x14ac:dyDescent="0.35">
      <c r="A1021" t="s">
        <v>5127</v>
      </c>
    </row>
    <row r="1022" spans="1:1" x14ac:dyDescent="0.35">
      <c r="A1022" t="s">
        <v>5128</v>
      </c>
    </row>
    <row r="1023" spans="1:1" x14ac:dyDescent="0.35">
      <c r="A1023" t="s">
        <v>5129</v>
      </c>
    </row>
    <row r="1024" spans="1:1" x14ac:dyDescent="0.35">
      <c r="A1024" t="s">
        <v>5130</v>
      </c>
    </row>
    <row r="1025" spans="1:1" x14ac:dyDescent="0.35">
      <c r="A1025" t="s">
        <v>5131</v>
      </c>
    </row>
    <row r="1026" spans="1:1" x14ac:dyDescent="0.35">
      <c r="A1026" t="s">
        <v>5132</v>
      </c>
    </row>
    <row r="1027" spans="1:1" x14ac:dyDescent="0.35">
      <c r="A1027" t="s">
        <v>5133</v>
      </c>
    </row>
    <row r="1028" spans="1:1" x14ac:dyDescent="0.35">
      <c r="A1028" t="s">
        <v>5134</v>
      </c>
    </row>
    <row r="1029" spans="1:1" x14ac:dyDescent="0.35">
      <c r="A1029" t="s">
        <v>5135</v>
      </c>
    </row>
    <row r="1030" spans="1:1" x14ac:dyDescent="0.35">
      <c r="A1030" t="s">
        <v>5136</v>
      </c>
    </row>
    <row r="1031" spans="1:1" x14ac:dyDescent="0.35">
      <c r="A1031" t="s">
        <v>5137</v>
      </c>
    </row>
    <row r="1032" spans="1:1" x14ac:dyDescent="0.35">
      <c r="A1032" t="s">
        <v>5138</v>
      </c>
    </row>
    <row r="1033" spans="1:1" x14ac:dyDescent="0.35">
      <c r="A1033" t="s">
        <v>5139</v>
      </c>
    </row>
    <row r="1034" spans="1:1" x14ac:dyDescent="0.35">
      <c r="A1034" t="s">
        <v>5140</v>
      </c>
    </row>
    <row r="1035" spans="1:1" x14ac:dyDescent="0.35">
      <c r="A1035" t="s">
        <v>5141</v>
      </c>
    </row>
    <row r="1036" spans="1:1" x14ac:dyDescent="0.35">
      <c r="A1036" t="s">
        <v>5142</v>
      </c>
    </row>
    <row r="1037" spans="1:1" x14ac:dyDescent="0.35">
      <c r="A1037" t="s">
        <v>5143</v>
      </c>
    </row>
    <row r="1038" spans="1:1" x14ac:dyDescent="0.35">
      <c r="A1038" t="s">
        <v>5144</v>
      </c>
    </row>
    <row r="1039" spans="1:1" x14ac:dyDescent="0.35">
      <c r="A1039" t="s">
        <v>5145</v>
      </c>
    </row>
    <row r="1040" spans="1:1" x14ac:dyDescent="0.35">
      <c r="A1040" t="s">
        <v>5146</v>
      </c>
    </row>
    <row r="1041" spans="1:1" x14ac:dyDescent="0.35">
      <c r="A1041" t="s">
        <v>5147</v>
      </c>
    </row>
    <row r="1042" spans="1:1" x14ac:dyDescent="0.35">
      <c r="A1042" t="s">
        <v>5148</v>
      </c>
    </row>
    <row r="1043" spans="1:1" x14ac:dyDescent="0.35">
      <c r="A1043" t="s">
        <v>5149</v>
      </c>
    </row>
    <row r="1044" spans="1:1" x14ac:dyDescent="0.35">
      <c r="A1044" t="s">
        <v>5150</v>
      </c>
    </row>
    <row r="1045" spans="1:1" x14ac:dyDescent="0.35">
      <c r="A1045" t="s">
        <v>5151</v>
      </c>
    </row>
    <row r="1046" spans="1:1" x14ac:dyDescent="0.35">
      <c r="A1046" t="s">
        <v>5152</v>
      </c>
    </row>
    <row r="1047" spans="1:1" x14ac:dyDescent="0.35">
      <c r="A1047" t="s">
        <v>5153</v>
      </c>
    </row>
    <row r="1048" spans="1:1" x14ac:dyDescent="0.35">
      <c r="A1048" t="s">
        <v>5154</v>
      </c>
    </row>
    <row r="1049" spans="1:1" x14ac:dyDescent="0.35">
      <c r="A1049" t="s">
        <v>5155</v>
      </c>
    </row>
    <row r="1050" spans="1:1" x14ac:dyDescent="0.35">
      <c r="A1050" t="s">
        <v>5156</v>
      </c>
    </row>
    <row r="1051" spans="1:1" x14ac:dyDescent="0.35">
      <c r="A1051" t="s">
        <v>5157</v>
      </c>
    </row>
    <row r="1052" spans="1:1" x14ac:dyDescent="0.35">
      <c r="A1052" t="s">
        <v>5158</v>
      </c>
    </row>
    <row r="1053" spans="1:1" x14ac:dyDescent="0.35">
      <c r="A1053" t="s">
        <v>5159</v>
      </c>
    </row>
    <row r="1054" spans="1:1" x14ac:dyDescent="0.35">
      <c r="A1054" t="s">
        <v>5160</v>
      </c>
    </row>
    <row r="1055" spans="1:1" x14ac:dyDescent="0.35">
      <c r="A1055" t="s">
        <v>5161</v>
      </c>
    </row>
    <row r="1056" spans="1:1" x14ac:dyDescent="0.35">
      <c r="A1056" t="s">
        <v>5162</v>
      </c>
    </row>
    <row r="1057" spans="1:1" x14ac:dyDescent="0.35">
      <c r="A1057" t="s">
        <v>5163</v>
      </c>
    </row>
    <row r="1058" spans="1:1" x14ac:dyDescent="0.35">
      <c r="A1058" t="s">
        <v>5164</v>
      </c>
    </row>
    <row r="1059" spans="1:1" x14ac:dyDescent="0.35">
      <c r="A1059" t="s">
        <v>5165</v>
      </c>
    </row>
    <row r="1060" spans="1:1" x14ac:dyDescent="0.35">
      <c r="A1060" t="s">
        <v>5166</v>
      </c>
    </row>
    <row r="1061" spans="1:1" x14ac:dyDescent="0.35">
      <c r="A1061" t="s">
        <v>5167</v>
      </c>
    </row>
    <row r="1062" spans="1:1" x14ac:dyDescent="0.35">
      <c r="A1062" t="s">
        <v>5168</v>
      </c>
    </row>
    <row r="1063" spans="1:1" x14ac:dyDescent="0.35">
      <c r="A1063" t="s">
        <v>5169</v>
      </c>
    </row>
    <row r="1064" spans="1:1" x14ac:dyDescent="0.35">
      <c r="A1064" t="s">
        <v>5170</v>
      </c>
    </row>
    <row r="1065" spans="1:1" x14ac:dyDescent="0.35">
      <c r="A1065" t="s">
        <v>5171</v>
      </c>
    </row>
    <row r="1066" spans="1:1" x14ac:dyDescent="0.35">
      <c r="A1066" t="s">
        <v>5172</v>
      </c>
    </row>
    <row r="1067" spans="1:1" x14ac:dyDescent="0.35">
      <c r="A1067" t="s">
        <v>5173</v>
      </c>
    </row>
    <row r="1068" spans="1:1" x14ac:dyDescent="0.35">
      <c r="A1068" t="s">
        <v>5174</v>
      </c>
    </row>
    <row r="1069" spans="1:1" x14ac:dyDescent="0.35">
      <c r="A1069" t="s">
        <v>5175</v>
      </c>
    </row>
    <row r="1070" spans="1:1" x14ac:dyDescent="0.35">
      <c r="A1070" t="s">
        <v>5176</v>
      </c>
    </row>
    <row r="1071" spans="1:1" x14ac:dyDescent="0.35">
      <c r="A1071" t="s">
        <v>5177</v>
      </c>
    </row>
    <row r="1072" spans="1:1" x14ac:dyDescent="0.35">
      <c r="A1072" t="s">
        <v>5178</v>
      </c>
    </row>
    <row r="1073" spans="1:1" x14ac:dyDescent="0.35">
      <c r="A1073" t="s">
        <v>5179</v>
      </c>
    </row>
    <row r="1074" spans="1:1" x14ac:dyDescent="0.35">
      <c r="A1074" t="s">
        <v>5180</v>
      </c>
    </row>
    <row r="1075" spans="1:1" x14ac:dyDescent="0.35">
      <c r="A1075" t="s">
        <v>5181</v>
      </c>
    </row>
    <row r="1076" spans="1:1" x14ac:dyDescent="0.35">
      <c r="A1076" t="s">
        <v>5182</v>
      </c>
    </row>
    <row r="1077" spans="1:1" x14ac:dyDescent="0.35">
      <c r="A1077" t="s">
        <v>5183</v>
      </c>
    </row>
    <row r="1078" spans="1:1" x14ac:dyDescent="0.35">
      <c r="A1078" t="s">
        <v>5184</v>
      </c>
    </row>
    <row r="1079" spans="1:1" x14ac:dyDescent="0.35">
      <c r="A1079" t="s">
        <v>5185</v>
      </c>
    </row>
    <row r="1080" spans="1:1" x14ac:dyDescent="0.35">
      <c r="A1080" t="s">
        <v>5186</v>
      </c>
    </row>
    <row r="1081" spans="1:1" x14ac:dyDescent="0.35">
      <c r="A1081" t="s">
        <v>5187</v>
      </c>
    </row>
    <row r="1082" spans="1:1" x14ac:dyDescent="0.35">
      <c r="A1082" t="s">
        <v>5188</v>
      </c>
    </row>
    <row r="1083" spans="1:1" x14ac:dyDescent="0.35">
      <c r="A1083" t="s">
        <v>5189</v>
      </c>
    </row>
    <row r="1084" spans="1:1" x14ac:dyDescent="0.35">
      <c r="A1084" t="s">
        <v>5190</v>
      </c>
    </row>
    <row r="1085" spans="1:1" x14ac:dyDescent="0.35">
      <c r="A1085" t="s">
        <v>5191</v>
      </c>
    </row>
    <row r="1086" spans="1:1" x14ac:dyDescent="0.35">
      <c r="A1086" t="s">
        <v>5192</v>
      </c>
    </row>
    <row r="1087" spans="1:1" x14ac:dyDescent="0.35">
      <c r="A1087" t="s">
        <v>5193</v>
      </c>
    </row>
    <row r="1088" spans="1:1" x14ac:dyDescent="0.35">
      <c r="A1088" t="s">
        <v>5194</v>
      </c>
    </row>
    <row r="1089" spans="1:1" x14ac:dyDescent="0.35">
      <c r="A1089" t="s">
        <v>5195</v>
      </c>
    </row>
    <row r="1090" spans="1:1" x14ac:dyDescent="0.35">
      <c r="A1090" t="s">
        <v>5196</v>
      </c>
    </row>
    <row r="1091" spans="1:1" x14ac:dyDescent="0.35">
      <c r="A1091" t="s">
        <v>5197</v>
      </c>
    </row>
    <row r="1092" spans="1:1" x14ac:dyDescent="0.35">
      <c r="A1092" t="s">
        <v>5198</v>
      </c>
    </row>
    <row r="1093" spans="1:1" x14ac:dyDescent="0.35">
      <c r="A1093" t="s">
        <v>5199</v>
      </c>
    </row>
    <row r="1094" spans="1:1" x14ac:dyDescent="0.35">
      <c r="A1094" t="s">
        <v>5200</v>
      </c>
    </row>
    <row r="1095" spans="1:1" x14ac:dyDescent="0.35">
      <c r="A1095" t="s">
        <v>5201</v>
      </c>
    </row>
    <row r="1096" spans="1:1" x14ac:dyDescent="0.35">
      <c r="A1096" t="s">
        <v>5202</v>
      </c>
    </row>
    <row r="1097" spans="1:1" x14ac:dyDescent="0.35">
      <c r="A1097" t="s">
        <v>5203</v>
      </c>
    </row>
    <row r="1098" spans="1:1" x14ac:dyDescent="0.35">
      <c r="A1098" t="s">
        <v>5204</v>
      </c>
    </row>
    <row r="1099" spans="1:1" x14ac:dyDescent="0.35">
      <c r="A1099" t="s">
        <v>5205</v>
      </c>
    </row>
    <row r="1100" spans="1:1" x14ac:dyDescent="0.35">
      <c r="A1100" t="s">
        <v>5206</v>
      </c>
    </row>
    <row r="1101" spans="1:1" x14ac:dyDescent="0.35">
      <c r="A1101" t="s">
        <v>5207</v>
      </c>
    </row>
    <row r="1102" spans="1:1" x14ac:dyDescent="0.35">
      <c r="A1102" t="s">
        <v>5208</v>
      </c>
    </row>
    <row r="1103" spans="1:1" x14ac:dyDescent="0.35">
      <c r="A1103" t="s">
        <v>5209</v>
      </c>
    </row>
    <row r="1104" spans="1:1" x14ac:dyDescent="0.35">
      <c r="A1104" t="s">
        <v>5210</v>
      </c>
    </row>
    <row r="1105" spans="1:1" x14ac:dyDescent="0.35">
      <c r="A1105" t="s">
        <v>5211</v>
      </c>
    </row>
    <row r="1106" spans="1:1" x14ac:dyDescent="0.35">
      <c r="A1106" t="s">
        <v>5212</v>
      </c>
    </row>
    <row r="1107" spans="1:1" x14ac:dyDescent="0.35">
      <c r="A1107" t="s">
        <v>5213</v>
      </c>
    </row>
    <row r="1108" spans="1:1" x14ac:dyDescent="0.35">
      <c r="A1108" t="s">
        <v>5214</v>
      </c>
    </row>
    <row r="1109" spans="1:1" x14ac:dyDescent="0.35">
      <c r="A1109" t="s">
        <v>5215</v>
      </c>
    </row>
    <row r="1110" spans="1:1" x14ac:dyDescent="0.35">
      <c r="A1110" t="s">
        <v>5216</v>
      </c>
    </row>
    <row r="1111" spans="1:1" x14ac:dyDescent="0.35">
      <c r="A1111" t="s">
        <v>5217</v>
      </c>
    </row>
    <row r="1112" spans="1:1" x14ac:dyDescent="0.35">
      <c r="A1112" t="s">
        <v>5218</v>
      </c>
    </row>
    <row r="1113" spans="1:1" x14ac:dyDescent="0.35">
      <c r="A1113" t="s">
        <v>5219</v>
      </c>
    </row>
    <row r="1114" spans="1:1" x14ac:dyDescent="0.35">
      <c r="A1114" t="s">
        <v>5220</v>
      </c>
    </row>
    <row r="1115" spans="1:1" x14ac:dyDescent="0.35">
      <c r="A1115" t="s">
        <v>5221</v>
      </c>
    </row>
    <row r="1116" spans="1:1" x14ac:dyDescent="0.35">
      <c r="A1116" t="s">
        <v>5222</v>
      </c>
    </row>
    <row r="1117" spans="1:1" x14ac:dyDescent="0.35">
      <c r="A1117" t="s">
        <v>5223</v>
      </c>
    </row>
    <row r="1118" spans="1:1" x14ac:dyDescent="0.35">
      <c r="A1118" t="s">
        <v>5224</v>
      </c>
    </row>
    <row r="1119" spans="1:1" x14ac:dyDescent="0.35">
      <c r="A1119" t="s">
        <v>5225</v>
      </c>
    </row>
    <row r="1120" spans="1:1" x14ac:dyDescent="0.35">
      <c r="A1120" t="s">
        <v>5226</v>
      </c>
    </row>
    <row r="1121" spans="1:1" x14ac:dyDescent="0.35">
      <c r="A1121" t="s">
        <v>5227</v>
      </c>
    </row>
    <row r="1122" spans="1:1" x14ac:dyDescent="0.35">
      <c r="A1122" t="s">
        <v>5228</v>
      </c>
    </row>
    <row r="1123" spans="1:1" x14ac:dyDescent="0.35">
      <c r="A1123" t="s">
        <v>5229</v>
      </c>
    </row>
    <row r="1124" spans="1:1" x14ac:dyDescent="0.35">
      <c r="A1124" t="s">
        <v>5230</v>
      </c>
    </row>
    <row r="1125" spans="1:1" x14ac:dyDescent="0.35">
      <c r="A1125" t="s">
        <v>5231</v>
      </c>
    </row>
    <row r="1126" spans="1:1" x14ac:dyDescent="0.35">
      <c r="A1126" t="s">
        <v>5232</v>
      </c>
    </row>
    <row r="1127" spans="1:1" x14ac:dyDescent="0.35">
      <c r="A1127" t="s">
        <v>5233</v>
      </c>
    </row>
    <row r="1128" spans="1:1" x14ac:dyDescent="0.35">
      <c r="A1128" t="s">
        <v>5234</v>
      </c>
    </row>
    <row r="1129" spans="1:1" x14ac:dyDescent="0.35">
      <c r="A1129" t="s">
        <v>5235</v>
      </c>
    </row>
    <row r="1130" spans="1:1" x14ac:dyDescent="0.35">
      <c r="A1130" t="s">
        <v>5236</v>
      </c>
    </row>
    <row r="1131" spans="1:1" x14ac:dyDescent="0.35">
      <c r="A1131" t="s">
        <v>5237</v>
      </c>
    </row>
    <row r="1132" spans="1:1" x14ac:dyDescent="0.35">
      <c r="A1132" t="s">
        <v>5238</v>
      </c>
    </row>
    <row r="1133" spans="1:1" x14ac:dyDescent="0.35">
      <c r="A1133" t="s">
        <v>5239</v>
      </c>
    </row>
    <row r="1134" spans="1:1" x14ac:dyDescent="0.35">
      <c r="A1134" t="s">
        <v>5240</v>
      </c>
    </row>
    <row r="1135" spans="1:1" x14ac:dyDescent="0.35">
      <c r="A1135" t="s">
        <v>5241</v>
      </c>
    </row>
    <row r="1136" spans="1:1" x14ac:dyDescent="0.35">
      <c r="A1136" t="s">
        <v>5242</v>
      </c>
    </row>
    <row r="1137" spans="1:1" x14ac:dyDescent="0.35">
      <c r="A1137" t="s">
        <v>5243</v>
      </c>
    </row>
    <row r="1138" spans="1:1" x14ac:dyDescent="0.35">
      <c r="A1138" t="s">
        <v>5244</v>
      </c>
    </row>
    <row r="1139" spans="1:1" x14ac:dyDescent="0.35">
      <c r="A1139" t="s">
        <v>5245</v>
      </c>
    </row>
    <row r="1140" spans="1:1" x14ac:dyDescent="0.35">
      <c r="A1140" t="s">
        <v>5246</v>
      </c>
    </row>
    <row r="1141" spans="1:1" x14ac:dyDescent="0.35">
      <c r="A1141" t="s">
        <v>5247</v>
      </c>
    </row>
    <row r="1142" spans="1:1" x14ac:dyDescent="0.35">
      <c r="A1142" t="s">
        <v>5248</v>
      </c>
    </row>
    <row r="1143" spans="1:1" x14ac:dyDescent="0.35">
      <c r="A1143" t="s">
        <v>5249</v>
      </c>
    </row>
    <row r="1144" spans="1:1" x14ac:dyDescent="0.35">
      <c r="A1144" t="s">
        <v>5250</v>
      </c>
    </row>
    <row r="1145" spans="1:1" x14ac:dyDescent="0.35">
      <c r="A1145" t="s">
        <v>5251</v>
      </c>
    </row>
    <row r="1146" spans="1:1" x14ac:dyDescent="0.35">
      <c r="A1146" t="s">
        <v>5252</v>
      </c>
    </row>
    <row r="1147" spans="1:1" x14ac:dyDescent="0.35">
      <c r="A1147" t="s">
        <v>5253</v>
      </c>
    </row>
    <row r="1148" spans="1:1" x14ac:dyDescent="0.35">
      <c r="A1148" t="s">
        <v>5254</v>
      </c>
    </row>
    <row r="1149" spans="1:1" x14ac:dyDescent="0.35">
      <c r="A1149" t="s">
        <v>5255</v>
      </c>
    </row>
    <row r="1150" spans="1:1" x14ac:dyDescent="0.35">
      <c r="A1150" t="s">
        <v>5256</v>
      </c>
    </row>
    <row r="1151" spans="1:1" x14ac:dyDescent="0.35">
      <c r="A1151" t="s">
        <v>5257</v>
      </c>
    </row>
    <row r="1152" spans="1:1" x14ac:dyDescent="0.35">
      <c r="A1152" t="s">
        <v>5258</v>
      </c>
    </row>
    <row r="1153" spans="1:1" x14ac:dyDescent="0.35">
      <c r="A1153" t="s">
        <v>5259</v>
      </c>
    </row>
    <row r="1154" spans="1:1" x14ac:dyDescent="0.35">
      <c r="A1154" t="s">
        <v>5260</v>
      </c>
    </row>
    <row r="1155" spans="1:1" x14ac:dyDescent="0.35">
      <c r="A1155" t="s">
        <v>5261</v>
      </c>
    </row>
    <row r="1156" spans="1:1" x14ac:dyDescent="0.35">
      <c r="A1156" t="s">
        <v>5262</v>
      </c>
    </row>
    <row r="1157" spans="1:1" x14ac:dyDescent="0.35">
      <c r="A1157" t="s">
        <v>5263</v>
      </c>
    </row>
    <row r="1158" spans="1:1" x14ac:dyDescent="0.35">
      <c r="A1158" t="s">
        <v>5264</v>
      </c>
    </row>
    <row r="1159" spans="1:1" x14ac:dyDescent="0.35">
      <c r="A1159" t="s">
        <v>5265</v>
      </c>
    </row>
    <row r="1160" spans="1:1" x14ac:dyDescent="0.35">
      <c r="A1160" t="s">
        <v>5266</v>
      </c>
    </row>
    <row r="1161" spans="1:1" x14ac:dyDescent="0.35">
      <c r="A1161" t="s">
        <v>5267</v>
      </c>
    </row>
    <row r="1162" spans="1:1" x14ac:dyDescent="0.35">
      <c r="A1162" t="s">
        <v>5268</v>
      </c>
    </row>
    <row r="1163" spans="1:1" x14ac:dyDescent="0.35">
      <c r="A1163" t="s">
        <v>5269</v>
      </c>
    </row>
    <row r="1164" spans="1:1" x14ac:dyDescent="0.35">
      <c r="A1164" t="s">
        <v>5270</v>
      </c>
    </row>
    <row r="1165" spans="1:1" x14ac:dyDescent="0.35">
      <c r="A1165" t="s">
        <v>5271</v>
      </c>
    </row>
    <row r="1166" spans="1:1" x14ac:dyDescent="0.35">
      <c r="A1166" t="s">
        <v>5272</v>
      </c>
    </row>
    <row r="1167" spans="1:1" x14ac:dyDescent="0.35">
      <c r="A1167" t="s">
        <v>5273</v>
      </c>
    </row>
    <row r="1168" spans="1:1" x14ac:dyDescent="0.35">
      <c r="A1168" t="s">
        <v>5274</v>
      </c>
    </row>
    <row r="1169" spans="1:1" x14ac:dyDescent="0.35">
      <c r="A1169" t="s">
        <v>5275</v>
      </c>
    </row>
    <row r="1170" spans="1:1" x14ac:dyDescent="0.35">
      <c r="A1170" t="s">
        <v>5276</v>
      </c>
    </row>
    <row r="1171" spans="1:1" x14ac:dyDescent="0.35">
      <c r="A1171" t="s">
        <v>5277</v>
      </c>
    </row>
    <row r="1172" spans="1:1" x14ac:dyDescent="0.35">
      <c r="A1172" t="s">
        <v>5278</v>
      </c>
    </row>
    <row r="1173" spans="1:1" x14ac:dyDescent="0.35">
      <c r="A1173" t="s">
        <v>5279</v>
      </c>
    </row>
    <row r="1174" spans="1:1" x14ac:dyDescent="0.35">
      <c r="A1174" t="s">
        <v>5280</v>
      </c>
    </row>
    <row r="1175" spans="1:1" x14ac:dyDescent="0.35">
      <c r="A1175" t="s">
        <v>5281</v>
      </c>
    </row>
    <row r="1176" spans="1:1" x14ac:dyDescent="0.35">
      <c r="A1176" t="s">
        <v>5282</v>
      </c>
    </row>
    <row r="1177" spans="1:1" x14ac:dyDescent="0.35">
      <c r="A1177" t="s">
        <v>5283</v>
      </c>
    </row>
    <row r="1178" spans="1:1" x14ac:dyDescent="0.35">
      <c r="A1178" t="s">
        <v>5284</v>
      </c>
    </row>
    <row r="1179" spans="1:1" x14ac:dyDescent="0.35">
      <c r="A1179" t="s">
        <v>5285</v>
      </c>
    </row>
    <row r="1180" spans="1:1" x14ac:dyDescent="0.35">
      <c r="A1180" t="s">
        <v>5286</v>
      </c>
    </row>
    <row r="1181" spans="1:1" x14ac:dyDescent="0.35">
      <c r="A1181" t="s">
        <v>5287</v>
      </c>
    </row>
    <row r="1182" spans="1:1" x14ac:dyDescent="0.35">
      <c r="A1182" t="s">
        <v>5288</v>
      </c>
    </row>
    <row r="1183" spans="1:1" x14ac:dyDescent="0.35">
      <c r="A1183" t="s">
        <v>5289</v>
      </c>
    </row>
    <row r="1184" spans="1:1" x14ac:dyDescent="0.35">
      <c r="A1184" t="s">
        <v>5290</v>
      </c>
    </row>
    <row r="1185" spans="1:1" x14ac:dyDescent="0.35">
      <c r="A1185" t="s">
        <v>5291</v>
      </c>
    </row>
    <row r="1186" spans="1:1" x14ac:dyDescent="0.35">
      <c r="A1186" t="s">
        <v>5292</v>
      </c>
    </row>
    <row r="1187" spans="1:1" x14ac:dyDescent="0.35">
      <c r="A1187" t="s">
        <v>5293</v>
      </c>
    </row>
    <row r="1188" spans="1:1" x14ac:dyDescent="0.35">
      <c r="A1188" t="s">
        <v>5294</v>
      </c>
    </row>
    <row r="1189" spans="1:1" x14ac:dyDescent="0.35">
      <c r="A1189" t="s">
        <v>5295</v>
      </c>
    </row>
    <row r="1190" spans="1:1" x14ac:dyDescent="0.35">
      <c r="A1190" t="s">
        <v>5296</v>
      </c>
    </row>
    <row r="1191" spans="1:1" x14ac:dyDescent="0.35">
      <c r="A1191" t="s">
        <v>5297</v>
      </c>
    </row>
    <row r="1192" spans="1:1" x14ac:dyDescent="0.35">
      <c r="A1192" t="s">
        <v>5298</v>
      </c>
    </row>
    <row r="1193" spans="1:1" x14ac:dyDescent="0.35">
      <c r="A1193" t="s">
        <v>5299</v>
      </c>
    </row>
    <row r="1194" spans="1:1" x14ac:dyDescent="0.35">
      <c r="A1194" t="s">
        <v>5300</v>
      </c>
    </row>
    <row r="1195" spans="1:1" x14ac:dyDescent="0.35">
      <c r="A1195" t="s">
        <v>5301</v>
      </c>
    </row>
    <row r="1196" spans="1:1" x14ac:dyDescent="0.35">
      <c r="A1196" t="s">
        <v>5302</v>
      </c>
    </row>
    <row r="1197" spans="1:1" x14ac:dyDescent="0.35">
      <c r="A1197" t="s">
        <v>5303</v>
      </c>
    </row>
    <row r="1198" spans="1:1" x14ac:dyDescent="0.35">
      <c r="A1198" t="s">
        <v>5304</v>
      </c>
    </row>
    <row r="1199" spans="1:1" x14ac:dyDescent="0.35">
      <c r="A1199" t="s">
        <v>5305</v>
      </c>
    </row>
    <row r="1200" spans="1:1" x14ac:dyDescent="0.35">
      <c r="A1200" t="s">
        <v>5306</v>
      </c>
    </row>
    <row r="1201" spans="1:1" x14ac:dyDescent="0.35">
      <c r="A1201" t="s">
        <v>5307</v>
      </c>
    </row>
    <row r="1202" spans="1:1" x14ac:dyDescent="0.35">
      <c r="A1202" t="s">
        <v>5308</v>
      </c>
    </row>
    <row r="1203" spans="1:1" x14ac:dyDescent="0.35">
      <c r="A1203" t="s">
        <v>5309</v>
      </c>
    </row>
    <row r="1204" spans="1:1" x14ac:dyDescent="0.35">
      <c r="A1204" t="s">
        <v>5310</v>
      </c>
    </row>
    <row r="1205" spans="1:1" x14ac:dyDescent="0.35">
      <c r="A1205" t="s">
        <v>5311</v>
      </c>
    </row>
    <row r="1206" spans="1:1" x14ac:dyDescent="0.35">
      <c r="A1206" t="s">
        <v>5312</v>
      </c>
    </row>
    <row r="1207" spans="1:1" x14ac:dyDescent="0.35">
      <c r="A1207" t="s">
        <v>5313</v>
      </c>
    </row>
    <row r="1208" spans="1:1" x14ac:dyDescent="0.35">
      <c r="A1208" t="s">
        <v>5314</v>
      </c>
    </row>
    <row r="1209" spans="1:1" x14ac:dyDescent="0.35">
      <c r="A1209" t="s">
        <v>5315</v>
      </c>
    </row>
    <row r="1210" spans="1:1" x14ac:dyDescent="0.35">
      <c r="A1210" t="s">
        <v>5316</v>
      </c>
    </row>
    <row r="1211" spans="1:1" x14ac:dyDescent="0.35">
      <c r="A1211" t="s">
        <v>5317</v>
      </c>
    </row>
    <row r="1212" spans="1:1" x14ac:dyDescent="0.35">
      <c r="A1212" t="s">
        <v>5318</v>
      </c>
    </row>
    <row r="1213" spans="1:1" x14ac:dyDescent="0.35">
      <c r="A1213" t="s">
        <v>5319</v>
      </c>
    </row>
    <row r="1214" spans="1:1" x14ac:dyDescent="0.35">
      <c r="A1214" t="s">
        <v>5320</v>
      </c>
    </row>
    <row r="1215" spans="1:1" x14ac:dyDescent="0.35">
      <c r="A1215" t="s">
        <v>5321</v>
      </c>
    </row>
    <row r="1216" spans="1:1" x14ac:dyDescent="0.35">
      <c r="A1216" t="s">
        <v>5322</v>
      </c>
    </row>
    <row r="1217" spans="1:1" x14ac:dyDescent="0.35">
      <c r="A1217" t="s">
        <v>5323</v>
      </c>
    </row>
    <row r="1218" spans="1:1" x14ac:dyDescent="0.35">
      <c r="A1218" t="s">
        <v>5324</v>
      </c>
    </row>
    <row r="1219" spans="1:1" x14ac:dyDescent="0.35">
      <c r="A1219" t="s">
        <v>5325</v>
      </c>
    </row>
    <row r="1220" spans="1:1" x14ac:dyDescent="0.35">
      <c r="A1220" t="s">
        <v>5326</v>
      </c>
    </row>
    <row r="1221" spans="1:1" x14ac:dyDescent="0.35">
      <c r="A1221" t="s">
        <v>5327</v>
      </c>
    </row>
    <row r="1222" spans="1:1" x14ac:dyDescent="0.35">
      <c r="A1222" t="s">
        <v>5328</v>
      </c>
    </row>
    <row r="1223" spans="1:1" x14ac:dyDescent="0.35">
      <c r="A1223" t="s">
        <v>5329</v>
      </c>
    </row>
    <row r="1224" spans="1:1" x14ac:dyDescent="0.35">
      <c r="A1224" t="s">
        <v>5330</v>
      </c>
    </row>
    <row r="1225" spans="1:1" x14ac:dyDescent="0.35">
      <c r="A1225" t="s">
        <v>5331</v>
      </c>
    </row>
    <row r="1226" spans="1:1" x14ac:dyDescent="0.35">
      <c r="A1226" t="s">
        <v>5332</v>
      </c>
    </row>
    <row r="1227" spans="1:1" x14ac:dyDescent="0.35">
      <c r="A1227" t="s">
        <v>5333</v>
      </c>
    </row>
    <row r="1228" spans="1:1" x14ac:dyDescent="0.35">
      <c r="A1228" t="s">
        <v>5334</v>
      </c>
    </row>
    <row r="1229" spans="1:1" x14ac:dyDescent="0.35">
      <c r="A1229" t="s">
        <v>5335</v>
      </c>
    </row>
    <row r="1230" spans="1:1" x14ac:dyDescent="0.35">
      <c r="A1230" t="s">
        <v>5336</v>
      </c>
    </row>
    <row r="1231" spans="1:1" x14ac:dyDescent="0.35">
      <c r="A1231" t="s">
        <v>5337</v>
      </c>
    </row>
    <row r="1232" spans="1:1" x14ac:dyDescent="0.35">
      <c r="A1232" t="s">
        <v>5338</v>
      </c>
    </row>
    <row r="1233" spans="1:1" x14ac:dyDescent="0.35">
      <c r="A1233" t="s">
        <v>5339</v>
      </c>
    </row>
    <row r="1234" spans="1:1" x14ac:dyDescent="0.35">
      <c r="A1234" t="s">
        <v>5340</v>
      </c>
    </row>
    <row r="1235" spans="1:1" x14ac:dyDescent="0.35">
      <c r="A1235" t="s">
        <v>5341</v>
      </c>
    </row>
    <row r="1236" spans="1:1" x14ac:dyDescent="0.35">
      <c r="A1236" t="s">
        <v>5342</v>
      </c>
    </row>
    <row r="1237" spans="1:1" x14ac:dyDescent="0.35">
      <c r="A1237" t="s">
        <v>5343</v>
      </c>
    </row>
    <row r="1238" spans="1:1" x14ac:dyDescent="0.35">
      <c r="A1238" t="s">
        <v>5344</v>
      </c>
    </row>
    <row r="1239" spans="1:1" x14ac:dyDescent="0.35">
      <c r="A1239" t="s">
        <v>5345</v>
      </c>
    </row>
    <row r="1240" spans="1:1" x14ac:dyDescent="0.35">
      <c r="A1240" t="s">
        <v>5346</v>
      </c>
    </row>
    <row r="1241" spans="1:1" x14ac:dyDescent="0.35">
      <c r="A1241" t="s">
        <v>5347</v>
      </c>
    </row>
    <row r="1242" spans="1:1" x14ac:dyDescent="0.35">
      <c r="A1242" t="s">
        <v>5348</v>
      </c>
    </row>
    <row r="1243" spans="1:1" x14ac:dyDescent="0.35">
      <c r="A1243" t="s">
        <v>5349</v>
      </c>
    </row>
    <row r="1244" spans="1:1" x14ac:dyDescent="0.35">
      <c r="A1244" t="s">
        <v>5350</v>
      </c>
    </row>
    <row r="1245" spans="1:1" x14ac:dyDescent="0.35">
      <c r="A1245" t="s">
        <v>5351</v>
      </c>
    </row>
    <row r="1246" spans="1:1" x14ac:dyDescent="0.35">
      <c r="A1246" t="s">
        <v>5352</v>
      </c>
    </row>
    <row r="1247" spans="1:1" x14ac:dyDescent="0.35">
      <c r="A1247" t="s">
        <v>5353</v>
      </c>
    </row>
    <row r="1248" spans="1:1" x14ac:dyDescent="0.35">
      <c r="A1248" t="s">
        <v>5354</v>
      </c>
    </row>
    <row r="1249" spans="1:1" x14ac:dyDescent="0.35">
      <c r="A1249" t="s">
        <v>5355</v>
      </c>
    </row>
    <row r="1250" spans="1:1" x14ac:dyDescent="0.35">
      <c r="A1250" t="s">
        <v>5356</v>
      </c>
    </row>
    <row r="1251" spans="1:1" x14ac:dyDescent="0.35">
      <c r="A1251" t="s">
        <v>5357</v>
      </c>
    </row>
    <row r="1252" spans="1:1" x14ac:dyDescent="0.35">
      <c r="A1252" t="s">
        <v>5358</v>
      </c>
    </row>
    <row r="1253" spans="1:1" x14ac:dyDescent="0.35">
      <c r="A1253" t="s">
        <v>5359</v>
      </c>
    </row>
    <row r="1254" spans="1:1" x14ac:dyDescent="0.35">
      <c r="A1254" t="s">
        <v>5360</v>
      </c>
    </row>
    <row r="1255" spans="1:1" x14ac:dyDescent="0.35">
      <c r="A1255" t="s">
        <v>5361</v>
      </c>
    </row>
    <row r="1256" spans="1:1" x14ac:dyDescent="0.35">
      <c r="A1256" t="s">
        <v>5362</v>
      </c>
    </row>
    <row r="1257" spans="1:1" x14ac:dyDescent="0.35">
      <c r="A1257" t="s">
        <v>5363</v>
      </c>
    </row>
    <row r="1258" spans="1:1" x14ac:dyDescent="0.35">
      <c r="A1258" t="s">
        <v>5364</v>
      </c>
    </row>
    <row r="1259" spans="1:1" x14ac:dyDescent="0.35">
      <c r="A1259" t="s">
        <v>5365</v>
      </c>
    </row>
    <row r="1260" spans="1:1" x14ac:dyDescent="0.35">
      <c r="A1260" t="s">
        <v>5366</v>
      </c>
    </row>
    <row r="1261" spans="1:1" x14ac:dyDescent="0.35">
      <c r="A1261" t="s">
        <v>5367</v>
      </c>
    </row>
    <row r="1262" spans="1:1" x14ac:dyDescent="0.35">
      <c r="A1262" t="s">
        <v>5368</v>
      </c>
    </row>
    <row r="1263" spans="1:1" x14ac:dyDescent="0.35">
      <c r="A1263" t="s">
        <v>5369</v>
      </c>
    </row>
    <row r="1264" spans="1:1" x14ac:dyDescent="0.35">
      <c r="A1264" t="s">
        <v>5370</v>
      </c>
    </row>
    <row r="1265" spans="1:1" x14ac:dyDescent="0.35">
      <c r="A1265" t="s">
        <v>5371</v>
      </c>
    </row>
    <row r="1266" spans="1:1" x14ac:dyDescent="0.35">
      <c r="A1266" t="s">
        <v>5372</v>
      </c>
    </row>
    <row r="1267" spans="1:1" x14ac:dyDescent="0.35">
      <c r="A1267" t="s">
        <v>5373</v>
      </c>
    </row>
    <row r="1268" spans="1:1" x14ac:dyDescent="0.35">
      <c r="A1268" t="s">
        <v>5374</v>
      </c>
    </row>
    <row r="1269" spans="1:1" x14ac:dyDescent="0.35">
      <c r="A1269" t="s">
        <v>5375</v>
      </c>
    </row>
    <row r="1270" spans="1:1" x14ac:dyDescent="0.35">
      <c r="A1270" t="s">
        <v>5376</v>
      </c>
    </row>
    <row r="1271" spans="1:1" x14ac:dyDescent="0.35">
      <c r="A1271" t="s">
        <v>5377</v>
      </c>
    </row>
    <row r="1272" spans="1:1" x14ac:dyDescent="0.35">
      <c r="A1272" t="s">
        <v>5378</v>
      </c>
    </row>
    <row r="1273" spans="1:1" x14ac:dyDescent="0.35">
      <c r="A1273" t="s">
        <v>5379</v>
      </c>
    </row>
    <row r="1274" spans="1:1" x14ac:dyDescent="0.35">
      <c r="A1274" t="s">
        <v>5380</v>
      </c>
    </row>
    <row r="1275" spans="1:1" x14ac:dyDescent="0.35">
      <c r="A1275" t="s">
        <v>5381</v>
      </c>
    </row>
    <row r="1276" spans="1:1" x14ac:dyDescent="0.35">
      <c r="A1276" t="s">
        <v>5382</v>
      </c>
    </row>
    <row r="1277" spans="1:1" x14ac:dyDescent="0.35">
      <c r="A1277" t="s">
        <v>5383</v>
      </c>
    </row>
    <row r="1278" spans="1:1" x14ac:dyDescent="0.35">
      <c r="A1278" t="s">
        <v>5384</v>
      </c>
    </row>
    <row r="1279" spans="1:1" x14ac:dyDescent="0.35">
      <c r="A1279" t="s">
        <v>5385</v>
      </c>
    </row>
    <row r="1280" spans="1:1" x14ac:dyDescent="0.35">
      <c r="A1280" t="s">
        <v>5386</v>
      </c>
    </row>
    <row r="1281" spans="1:1" x14ac:dyDescent="0.35">
      <c r="A1281" t="s">
        <v>5387</v>
      </c>
    </row>
    <row r="1282" spans="1:1" x14ac:dyDescent="0.35">
      <c r="A1282" t="s">
        <v>5388</v>
      </c>
    </row>
    <row r="1283" spans="1:1" x14ac:dyDescent="0.35">
      <c r="A1283" t="s">
        <v>5389</v>
      </c>
    </row>
    <row r="1284" spans="1:1" x14ac:dyDescent="0.35">
      <c r="A1284" t="s">
        <v>5390</v>
      </c>
    </row>
    <row r="1285" spans="1:1" x14ac:dyDescent="0.35">
      <c r="A1285" t="s">
        <v>5391</v>
      </c>
    </row>
    <row r="1286" spans="1:1" x14ac:dyDescent="0.35">
      <c r="A1286" t="s">
        <v>5392</v>
      </c>
    </row>
    <row r="1287" spans="1:1" x14ac:dyDescent="0.35">
      <c r="A1287" t="s">
        <v>5393</v>
      </c>
    </row>
    <row r="1288" spans="1:1" x14ac:dyDescent="0.35">
      <c r="A1288" t="s">
        <v>5394</v>
      </c>
    </row>
    <row r="1289" spans="1:1" x14ac:dyDescent="0.35">
      <c r="A1289" t="s">
        <v>5395</v>
      </c>
    </row>
    <row r="1290" spans="1:1" x14ac:dyDescent="0.35">
      <c r="A1290" t="s">
        <v>5396</v>
      </c>
    </row>
    <row r="1291" spans="1:1" x14ac:dyDescent="0.35">
      <c r="A1291" t="s">
        <v>5397</v>
      </c>
    </row>
    <row r="1292" spans="1:1" x14ac:dyDescent="0.35">
      <c r="A1292" t="s">
        <v>5398</v>
      </c>
    </row>
    <row r="1293" spans="1:1" x14ac:dyDescent="0.35">
      <c r="A1293" t="s">
        <v>5399</v>
      </c>
    </row>
    <row r="1294" spans="1:1" x14ac:dyDescent="0.35">
      <c r="A1294" t="s">
        <v>5400</v>
      </c>
    </row>
    <row r="1295" spans="1:1" x14ac:dyDescent="0.35">
      <c r="A1295" t="s">
        <v>5401</v>
      </c>
    </row>
    <row r="1296" spans="1:1" x14ac:dyDescent="0.35">
      <c r="A1296" t="s">
        <v>5402</v>
      </c>
    </row>
    <row r="1297" spans="1:1" x14ac:dyDescent="0.35">
      <c r="A1297" t="s">
        <v>5403</v>
      </c>
    </row>
    <row r="1298" spans="1:1" x14ac:dyDescent="0.35">
      <c r="A1298" t="s">
        <v>5404</v>
      </c>
    </row>
    <row r="1299" spans="1:1" x14ac:dyDescent="0.35">
      <c r="A1299" t="s">
        <v>5405</v>
      </c>
    </row>
    <row r="1300" spans="1:1" x14ac:dyDescent="0.35">
      <c r="A1300" t="s">
        <v>5406</v>
      </c>
    </row>
    <row r="1301" spans="1:1" x14ac:dyDescent="0.35">
      <c r="A1301" t="s">
        <v>5407</v>
      </c>
    </row>
    <row r="1302" spans="1:1" x14ac:dyDescent="0.35">
      <c r="A1302" t="s">
        <v>5408</v>
      </c>
    </row>
    <row r="1303" spans="1:1" x14ac:dyDescent="0.35">
      <c r="A1303" t="s">
        <v>5409</v>
      </c>
    </row>
    <row r="1304" spans="1:1" x14ac:dyDescent="0.35">
      <c r="A1304" t="s">
        <v>5410</v>
      </c>
    </row>
    <row r="1305" spans="1:1" x14ac:dyDescent="0.35">
      <c r="A1305" t="s">
        <v>5411</v>
      </c>
    </row>
    <row r="1306" spans="1:1" x14ac:dyDescent="0.35">
      <c r="A1306" t="s">
        <v>5412</v>
      </c>
    </row>
    <row r="1307" spans="1:1" x14ac:dyDescent="0.35">
      <c r="A1307" t="s">
        <v>5413</v>
      </c>
    </row>
    <row r="1308" spans="1:1" x14ac:dyDescent="0.35">
      <c r="A1308" t="s">
        <v>5414</v>
      </c>
    </row>
    <row r="1309" spans="1:1" x14ac:dyDescent="0.35">
      <c r="A1309" t="s">
        <v>5415</v>
      </c>
    </row>
    <row r="1310" spans="1:1" x14ac:dyDescent="0.35">
      <c r="A1310" t="s">
        <v>5416</v>
      </c>
    </row>
    <row r="1311" spans="1:1" x14ac:dyDescent="0.35">
      <c r="A1311" t="s">
        <v>5417</v>
      </c>
    </row>
    <row r="1312" spans="1:1" x14ac:dyDescent="0.35">
      <c r="A1312" t="s">
        <v>5418</v>
      </c>
    </row>
    <row r="1313" spans="1:1" x14ac:dyDescent="0.35">
      <c r="A1313" t="s">
        <v>5419</v>
      </c>
    </row>
    <row r="1314" spans="1:1" x14ac:dyDescent="0.35">
      <c r="A1314" t="s">
        <v>5420</v>
      </c>
    </row>
    <row r="1315" spans="1:1" x14ac:dyDescent="0.35">
      <c r="A1315" t="s">
        <v>5421</v>
      </c>
    </row>
    <row r="1316" spans="1:1" x14ac:dyDescent="0.35">
      <c r="A1316" t="s">
        <v>5422</v>
      </c>
    </row>
    <row r="1317" spans="1:1" x14ac:dyDescent="0.35">
      <c r="A1317" t="s">
        <v>5423</v>
      </c>
    </row>
    <row r="1318" spans="1:1" x14ac:dyDescent="0.35">
      <c r="A1318" t="s">
        <v>5424</v>
      </c>
    </row>
    <row r="1319" spans="1:1" x14ac:dyDescent="0.35">
      <c r="A1319" t="s">
        <v>5425</v>
      </c>
    </row>
    <row r="1320" spans="1:1" x14ac:dyDescent="0.35">
      <c r="A1320" t="s">
        <v>5426</v>
      </c>
    </row>
    <row r="1321" spans="1:1" x14ac:dyDescent="0.35">
      <c r="A1321" t="s">
        <v>5427</v>
      </c>
    </row>
    <row r="1322" spans="1:1" x14ac:dyDescent="0.35">
      <c r="A1322" t="s">
        <v>5428</v>
      </c>
    </row>
    <row r="1323" spans="1:1" x14ac:dyDescent="0.35">
      <c r="A1323" t="s">
        <v>5429</v>
      </c>
    </row>
    <row r="1324" spans="1:1" x14ac:dyDescent="0.35">
      <c r="A1324" t="s">
        <v>5430</v>
      </c>
    </row>
    <row r="1325" spans="1:1" x14ac:dyDescent="0.35">
      <c r="A1325" t="s">
        <v>5431</v>
      </c>
    </row>
    <row r="1326" spans="1:1" x14ac:dyDescent="0.35">
      <c r="A1326" t="s">
        <v>5432</v>
      </c>
    </row>
    <row r="1327" spans="1:1" x14ac:dyDescent="0.35">
      <c r="A1327" t="s">
        <v>5433</v>
      </c>
    </row>
    <row r="1328" spans="1:1" x14ac:dyDescent="0.35">
      <c r="A1328" t="s">
        <v>5434</v>
      </c>
    </row>
    <row r="1329" spans="1:1" x14ac:dyDescent="0.35">
      <c r="A1329" t="s">
        <v>5435</v>
      </c>
    </row>
    <row r="1330" spans="1:1" x14ac:dyDescent="0.35">
      <c r="A1330" t="s">
        <v>5436</v>
      </c>
    </row>
    <row r="1331" spans="1:1" x14ac:dyDescent="0.35">
      <c r="A1331" t="s">
        <v>5437</v>
      </c>
    </row>
    <row r="1332" spans="1:1" x14ac:dyDescent="0.35">
      <c r="A1332" t="s">
        <v>5438</v>
      </c>
    </row>
    <row r="1333" spans="1:1" x14ac:dyDescent="0.35">
      <c r="A1333" t="s">
        <v>5439</v>
      </c>
    </row>
    <row r="1334" spans="1:1" x14ac:dyDescent="0.35">
      <c r="A1334" t="s">
        <v>5440</v>
      </c>
    </row>
    <row r="1335" spans="1:1" x14ac:dyDescent="0.35">
      <c r="A1335" t="s">
        <v>5441</v>
      </c>
    </row>
    <row r="1336" spans="1:1" x14ac:dyDescent="0.35">
      <c r="A1336" t="s">
        <v>5442</v>
      </c>
    </row>
    <row r="1337" spans="1:1" x14ac:dyDescent="0.35">
      <c r="A1337" t="s">
        <v>5443</v>
      </c>
    </row>
    <row r="1338" spans="1:1" x14ac:dyDescent="0.35">
      <c r="A1338" t="s">
        <v>5444</v>
      </c>
    </row>
    <row r="1339" spans="1:1" x14ac:dyDescent="0.35">
      <c r="A1339" t="s">
        <v>5445</v>
      </c>
    </row>
    <row r="1340" spans="1:1" x14ac:dyDescent="0.35">
      <c r="A1340" t="s">
        <v>5446</v>
      </c>
    </row>
    <row r="1341" spans="1:1" x14ac:dyDescent="0.35">
      <c r="A1341" t="s">
        <v>5447</v>
      </c>
    </row>
    <row r="1342" spans="1:1" x14ac:dyDescent="0.35">
      <c r="A1342" t="s">
        <v>5448</v>
      </c>
    </row>
    <row r="1343" spans="1:1" x14ac:dyDescent="0.35">
      <c r="A1343" t="s">
        <v>5449</v>
      </c>
    </row>
    <row r="1344" spans="1:1" x14ac:dyDescent="0.35">
      <c r="A1344" t="s">
        <v>5450</v>
      </c>
    </row>
    <row r="1345" spans="1:1" x14ac:dyDescent="0.35">
      <c r="A1345" t="s">
        <v>5451</v>
      </c>
    </row>
    <row r="1346" spans="1:1" x14ac:dyDescent="0.35">
      <c r="A1346" t="s">
        <v>5452</v>
      </c>
    </row>
    <row r="1347" spans="1:1" x14ac:dyDescent="0.35">
      <c r="A1347" t="s">
        <v>5453</v>
      </c>
    </row>
    <row r="1348" spans="1:1" x14ac:dyDescent="0.35">
      <c r="A1348" t="s">
        <v>5454</v>
      </c>
    </row>
    <row r="1349" spans="1:1" x14ac:dyDescent="0.35">
      <c r="A1349" t="s">
        <v>5455</v>
      </c>
    </row>
    <row r="1350" spans="1:1" x14ac:dyDescent="0.35">
      <c r="A1350" t="s">
        <v>5456</v>
      </c>
    </row>
    <row r="1351" spans="1:1" x14ac:dyDescent="0.35">
      <c r="A1351" t="s">
        <v>5457</v>
      </c>
    </row>
    <row r="1352" spans="1:1" x14ac:dyDescent="0.35">
      <c r="A1352" t="s">
        <v>5458</v>
      </c>
    </row>
    <row r="1353" spans="1:1" x14ac:dyDescent="0.35">
      <c r="A1353" t="s">
        <v>5459</v>
      </c>
    </row>
    <row r="1354" spans="1:1" x14ac:dyDescent="0.35">
      <c r="A1354" t="s">
        <v>5460</v>
      </c>
    </row>
    <row r="1355" spans="1:1" x14ac:dyDescent="0.35">
      <c r="A1355" t="s">
        <v>5461</v>
      </c>
    </row>
    <row r="1356" spans="1:1" x14ac:dyDescent="0.35">
      <c r="A1356" t="s">
        <v>5462</v>
      </c>
    </row>
    <row r="1357" spans="1:1" x14ac:dyDescent="0.35">
      <c r="A1357" t="s">
        <v>5463</v>
      </c>
    </row>
    <row r="1358" spans="1:1" x14ac:dyDescent="0.35">
      <c r="A1358" t="s">
        <v>5464</v>
      </c>
    </row>
    <row r="1359" spans="1:1" x14ac:dyDescent="0.35">
      <c r="A1359" t="s">
        <v>5465</v>
      </c>
    </row>
    <row r="1360" spans="1:1" x14ac:dyDescent="0.35">
      <c r="A1360" t="s">
        <v>5466</v>
      </c>
    </row>
    <row r="1361" spans="1:1" x14ac:dyDescent="0.35">
      <c r="A1361" t="s">
        <v>5467</v>
      </c>
    </row>
    <row r="1362" spans="1:1" x14ac:dyDescent="0.35">
      <c r="A1362" t="s">
        <v>5468</v>
      </c>
    </row>
    <row r="1363" spans="1:1" x14ac:dyDescent="0.35">
      <c r="A1363" t="s">
        <v>5469</v>
      </c>
    </row>
    <row r="1364" spans="1:1" x14ac:dyDescent="0.35">
      <c r="A1364" t="s">
        <v>5470</v>
      </c>
    </row>
    <row r="1365" spans="1:1" x14ac:dyDescent="0.35">
      <c r="A1365" t="s">
        <v>5471</v>
      </c>
    </row>
    <row r="1366" spans="1:1" x14ac:dyDescent="0.35">
      <c r="A1366" t="s">
        <v>5472</v>
      </c>
    </row>
    <row r="1367" spans="1:1" x14ac:dyDescent="0.35">
      <c r="A1367" t="s">
        <v>5473</v>
      </c>
    </row>
    <row r="1368" spans="1:1" x14ac:dyDescent="0.35">
      <c r="A1368" t="s">
        <v>5474</v>
      </c>
    </row>
    <row r="1369" spans="1:1" x14ac:dyDescent="0.35">
      <c r="A1369" t="s">
        <v>5475</v>
      </c>
    </row>
    <row r="1370" spans="1:1" x14ac:dyDescent="0.35">
      <c r="A1370" t="s">
        <v>5476</v>
      </c>
    </row>
    <row r="1371" spans="1:1" x14ac:dyDescent="0.35">
      <c r="A1371" t="s">
        <v>5477</v>
      </c>
    </row>
    <row r="1372" spans="1:1" x14ac:dyDescent="0.35">
      <c r="A1372" t="s">
        <v>5478</v>
      </c>
    </row>
    <row r="1373" spans="1:1" x14ac:dyDescent="0.35">
      <c r="A1373" t="s">
        <v>5479</v>
      </c>
    </row>
    <row r="1374" spans="1:1" x14ac:dyDescent="0.35">
      <c r="A1374" t="s">
        <v>5480</v>
      </c>
    </row>
    <row r="1375" spans="1:1" x14ac:dyDescent="0.35">
      <c r="A1375" t="s">
        <v>5481</v>
      </c>
    </row>
    <row r="1376" spans="1:1" x14ac:dyDescent="0.35">
      <c r="A1376" t="s">
        <v>5482</v>
      </c>
    </row>
    <row r="1377" spans="1:1" x14ac:dyDescent="0.35">
      <c r="A1377" t="s">
        <v>5483</v>
      </c>
    </row>
    <row r="1378" spans="1:1" x14ac:dyDescent="0.35">
      <c r="A1378" t="s">
        <v>5484</v>
      </c>
    </row>
    <row r="1379" spans="1:1" x14ac:dyDescent="0.35">
      <c r="A1379" t="s">
        <v>5485</v>
      </c>
    </row>
    <row r="1380" spans="1:1" x14ac:dyDescent="0.35">
      <c r="A1380" t="s">
        <v>5486</v>
      </c>
    </row>
    <row r="1381" spans="1:1" x14ac:dyDescent="0.35">
      <c r="A1381" t="s">
        <v>5487</v>
      </c>
    </row>
    <row r="1382" spans="1:1" x14ac:dyDescent="0.35">
      <c r="A1382" t="s">
        <v>5488</v>
      </c>
    </row>
    <row r="1383" spans="1:1" x14ac:dyDescent="0.35">
      <c r="A1383" t="s">
        <v>5489</v>
      </c>
    </row>
    <row r="1384" spans="1:1" x14ac:dyDescent="0.35">
      <c r="A1384" t="s">
        <v>5490</v>
      </c>
    </row>
    <row r="1385" spans="1:1" x14ac:dyDescent="0.35">
      <c r="A1385" t="s">
        <v>5491</v>
      </c>
    </row>
    <row r="1386" spans="1:1" x14ac:dyDescent="0.35">
      <c r="A1386" t="s">
        <v>5492</v>
      </c>
    </row>
    <row r="1387" spans="1:1" x14ac:dyDescent="0.35">
      <c r="A1387" t="s">
        <v>5493</v>
      </c>
    </row>
    <row r="1388" spans="1:1" x14ac:dyDescent="0.35">
      <c r="A1388" t="s">
        <v>5494</v>
      </c>
    </row>
    <row r="1389" spans="1:1" x14ac:dyDescent="0.35">
      <c r="A1389" t="s">
        <v>5495</v>
      </c>
    </row>
    <row r="1390" spans="1:1" x14ac:dyDescent="0.35">
      <c r="A1390" t="s">
        <v>5496</v>
      </c>
    </row>
    <row r="1391" spans="1:1" x14ac:dyDescent="0.35">
      <c r="A1391" t="s">
        <v>5497</v>
      </c>
    </row>
    <row r="1392" spans="1:1" x14ac:dyDescent="0.35">
      <c r="A1392" t="s">
        <v>5498</v>
      </c>
    </row>
    <row r="1393" spans="1:1" x14ac:dyDescent="0.35">
      <c r="A1393" t="s">
        <v>5499</v>
      </c>
    </row>
    <row r="1394" spans="1:1" x14ac:dyDescent="0.35">
      <c r="A1394" t="s">
        <v>5500</v>
      </c>
    </row>
    <row r="1395" spans="1:1" x14ac:dyDescent="0.35">
      <c r="A1395" t="s">
        <v>5501</v>
      </c>
    </row>
    <row r="1396" spans="1:1" x14ac:dyDescent="0.35">
      <c r="A1396" t="s">
        <v>5502</v>
      </c>
    </row>
    <row r="1397" spans="1:1" x14ac:dyDescent="0.35">
      <c r="A1397" t="s">
        <v>5503</v>
      </c>
    </row>
    <row r="1398" spans="1:1" x14ac:dyDescent="0.35">
      <c r="A1398" t="s">
        <v>5504</v>
      </c>
    </row>
    <row r="1399" spans="1:1" x14ac:dyDescent="0.35">
      <c r="A1399" t="s">
        <v>5505</v>
      </c>
    </row>
    <row r="1400" spans="1:1" x14ac:dyDescent="0.35">
      <c r="A1400" t="s">
        <v>5506</v>
      </c>
    </row>
    <row r="1401" spans="1:1" x14ac:dyDescent="0.35">
      <c r="A1401" t="s">
        <v>5507</v>
      </c>
    </row>
    <row r="1402" spans="1:1" x14ac:dyDescent="0.35">
      <c r="A1402" t="s">
        <v>5508</v>
      </c>
    </row>
    <row r="1403" spans="1:1" x14ac:dyDescent="0.35">
      <c r="A1403" t="s">
        <v>5509</v>
      </c>
    </row>
    <row r="1404" spans="1:1" x14ac:dyDescent="0.35">
      <c r="A1404" t="s">
        <v>5510</v>
      </c>
    </row>
    <row r="1405" spans="1:1" x14ac:dyDescent="0.35">
      <c r="A1405" t="s">
        <v>5511</v>
      </c>
    </row>
    <row r="1406" spans="1:1" x14ac:dyDescent="0.35">
      <c r="A1406" t="s">
        <v>5512</v>
      </c>
    </row>
    <row r="1407" spans="1:1" x14ac:dyDescent="0.35">
      <c r="A1407" t="s">
        <v>5513</v>
      </c>
    </row>
    <row r="1408" spans="1:1" x14ac:dyDescent="0.35">
      <c r="A1408" t="s">
        <v>5514</v>
      </c>
    </row>
    <row r="1409" spans="1:1" x14ac:dyDescent="0.35">
      <c r="A1409" t="s">
        <v>5515</v>
      </c>
    </row>
    <row r="1410" spans="1:1" x14ac:dyDescent="0.35">
      <c r="A1410" t="s">
        <v>5516</v>
      </c>
    </row>
    <row r="1411" spans="1:1" x14ac:dyDescent="0.35">
      <c r="A1411" t="s">
        <v>5517</v>
      </c>
    </row>
    <row r="1412" spans="1:1" x14ac:dyDescent="0.35">
      <c r="A1412" t="s">
        <v>5518</v>
      </c>
    </row>
    <row r="1413" spans="1:1" x14ac:dyDescent="0.35">
      <c r="A1413" t="s">
        <v>5519</v>
      </c>
    </row>
    <row r="1414" spans="1:1" x14ac:dyDescent="0.35">
      <c r="A1414" t="s">
        <v>5520</v>
      </c>
    </row>
    <row r="1415" spans="1:1" x14ac:dyDescent="0.35">
      <c r="A1415" t="s">
        <v>5521</v>
      </c>
    </row>
    <row r="1416" spans="1:1" x14ac:dyDescent="0.35">
      <c r="A1416" t="s">
        <v>5522</v>
      </c>
    </row>
    <row r="1417" spans="1:1" x14ac:dyDescent="0.35">
      <c r="A1417" t="s">
        <v>5523</v>
      </c>
    </row>
    <row r="1418" spans="1:1" x14ac:dyDescent="0.35">
      <c r="A1418" t="s">
        <v>5524</v>
      </c>
    </row>
    <row r="1419" spans="1:1" x14ac:dyDescent="0.35">
      <c r="A1419" t="s">
        <v>5525</v>
      </c>
    </row>
    <row r="1420" spans="1:1" x14ac:dyDescent="0.35">
      <c r="A1420" t="s">
        <v>5526</v>
      </c>
    </row>
    <row r="1421" spans="1:1" x14ac:dyDescent="0.35">
      <c r="A1421" t="s">
        <v>5527</v>
      </c>
    </row>
    <row r="1422" spans="1:1" x14ac:dyDescent="0.35">
      <c r="A1422" t="s">
        <v>5528</v>
      </c>
    </row>
    <row r="1423" spans="1:1" x14ac:dyDescent="0.35">
      <c r="A1423" t="s">
        <v>5529</v>
      </c>
    </row>
    <row r="1424" spans="1:1" x14ac:dyDescent="0.35">
      <c r="A1424" t="s">
        <v>5530</v>
      </c>
    </row>
    <row r="1425" spans="1:1" x14ac:dyDescent="0.35">
      <c r="A1425" t="s">
        <v>5531</v>
      </c>
    </row>
    <row r="1426" spans="1:1" x14ac:dyDescent="0.35">
      <c r="A1426" t="s">
        <v>5532</v>
      </c>
    </row>
    <row r="1427" spans="1:1" x14ac:dyDescent="0.35">
      <c r="A1427" t="s">
        <v>5533</v>
      </c>
    </row>
    <row r="1428" spans="1:1" x14ac:dyDescent="0.35">
      <c r="A1428" t="s">
        <v>5534</v>
      </c>
    </row>
    <row r="1429" spans="1:1" x14ac:dyDescent="0.35">
      <c r="A1429" t="s">
        <v>5535</v>
      </c>
    </row>
    <row r="1430" spans="1:1" x14ac:dyDescent="0.35">
      <c r="A1430" t="s">
        <v>5536</v>
      </c>
    </row>
    <row r="1431" spans="1:1" x14ac:dyDescent="0.35">
      <c r="A1431" t="s">
        <v>5537</v>
      </c>
    </row>
    <row r="1432" spans="1:1" x14ac:dyDescent="0.35">
      <c r="A1432" t="s">
        <v>5538</v>
      </c>
    </row>
    <row r="1433" spans="1:1" x14ac:dyDescent="0.35">
      <c r="A1433" t="s">
        <v>5539</v>
      </c>
    </row>
    <row r="1434" spans="1:1" x14ac:dyDescent="0.35">
      <c r="A1434" t="s">
        <v>5540</v>
      </c>
    </row>
    <row r="1435" spans="1:1" x14ac:dyDescent="0.35">
      <c r="A1435" t="s">
        <v>5541</v>
      </c>
    </row>
    <row r="1436" spans="1:1" x14ac:dyDescent="0.35">
      <c r="A1436" t="s">
        <v>5542</v>
      </c>
    </row>
    <row r="1437" spans="1:1" x14ac:dyDescent="0.35">
      <c r="A1437" t="s">
        <v>5543</v>
      </c>
    </row>
    <row r="1438" spans="1:1" x14ac:dyDescent="0.35">
      <c r="A1438" t="s">
        <v>5544</v>
      </c>
    </row>
    <row r="1439" spans="1:1" x14ac:dyDescent="0.35">
      <c r="A1439" t="s">
        <v>5545</v>
      </c>
    </row>
    <row r="1440" spans="1:1" x14ac:dyDescent="0.35">
      <c r="A1440" t="s">
        <v>5546</v>
      </c>
    </row>
    <row r="1441" spans="1:1" x14ac:dyDescent="0.35">
      <c r="A1441" t="s">
        <v>5547</v>
      </c>
    </row>
    <row r="1442" spans="1:1" x14ac:dyDescent="0.35">
      <c r="A1442" t="s">
        <v>5548</v>
      </c>
    </row>
    <row r="1443" spans="1:1" x14ac:dyDescent="0.35">
      <c r="A1443" t="s">
        <v>5549</v>
      </c>
    </row>
    <row r="1444" spans="1:1" x14ac:dyDescent="0.35">
      <c r="A1444" t="s">
        <v>5550</v>
      </c>
    </row>
    <row r="1445" spans="1:1" x14ac:dyDescent="0.35">
      <c r="A1445" t="s">
        <v>5551</v>
      </c>
    </row>
    <row r="1446" spans="1:1" x14ac:dyDescent="0.35">
      <c r="A1446" t="s">
        <v>5552</v>
      </c>
    </row>
    <row r="1447" spans="1:1" x14ac:dyDescent="0.35">
      <c r="A1447" t="s">
        <v>5553</v>
      </c>
    </row>
    <row r="1448" spans="1:1" x14ac:dyDescent="0.35">
      <c r="A1448" t="s">
        <v>5554</v>
      </c>
    </row>
    <row r="1449" spans="1:1" x14ac:dyDescent="0.35">
      <c r="A1449" t="s">
        <v>5555</v>
      </c>
    </row>
    <row r="1450" spans="1:1" x14ac:dyDescent="0.35">
      <c r="A1450" t="s">
        <v>5556</v>
      </c>
    </row>
    <row r="1451" spans="1:1" x14ac:dyDescent="0.35">
      <c r="A1451" t="s">
        <v>5557</v>
      </c>
    </row>
    <row r="1452" spans="1:1" x14ac:dyDescent="0.35">
      <c r="A1452" t="s">
        <v>5558</v>
      </c>
    </row>
    <row r="1453" spans="1:1" x14ac:dyDescent="0.35">
      <c r="A1453" t="s">
        <v>5559</v>
      </c>
    </row>
    <row r="1454" spans="1:1" x14ac:dyDescent="0.35">
      <c r="A1454" t="s">
        <v>5560</v>
      </c>
    </row>
    <row r="1455" spans="1:1" x14ac:dyDescent="0.35">
      <c r="A1455" t="s">
        <v>5561</v>
      </c>
    </row>
    <row r="1456" spans="1:1" x14ac:dyDescent="0.35">
      <c r="A1456" t="s">
        <v>5562</v>
      </c>
    </row>
    <row r="1457" spans="1:1" x14ac:dyDescent="0.35">
      <c r="A1457" t="s">
        <v>5563</v>
      </c>
    </row>
    <row r="1458" spans="1:1" x14ac:dyDescent="0.35">
      <c r="A1458" t="s">
        <v>5564</v>
      </c>
    </row>
    <row r="1459" spans="1:1" x14ac:dyDescent="0.35">
      <c r="A1459" t="s">
        <v>5565</v>
      </c>
    </row>
    <row r="1460" spans="1:1" x14ac:dyDescent="0.35">
      <c r="A1460" t="s">
        <v>5566</v>
      </c>
    </row>
    <row r="1461" spans="1:1" x14ac:dyDescent="0.35">
      <c r="A1461" t="s">
        <v>5567</v>
      </c>
    </row>
    <row r="1462" spans="1:1" x14ac:dyDescent="0.35">
      <c r="A1462" t="s">
        <v>5568</v>
      </c>
    </row>
    <row r="1463" spans="1:1" x14ac:dyDescent="0.35">
      <c r="A1463" t="s">
        <v>5569</v>
      </c>
    </row>
    <row r="1464" spans="1:1" x14ac:dyDescent="0.35">
      <c r="A1464" t="s">
        <v>5570</v>
      </c>
    </row>
    <row r="1465" spans="1:1" x14ac:dyDescent="0.35">
      <c r="A1465" t="s">
        <v>5571</v>
      </c>
    </row>
    <row r="1466" spans="1:1" x14ac:dyDescent="0.35">
      <c r="A1466" t="s">
        <v>5572</v>
      </c>
    </row>
    <row r="1467" spans="1:1" x14ac:dyDescent="0.35">
      <c r="A1467" t="s">
        <v>5573</v>
      </c>
    </row>
    <row r="1468" spans="1:1" x14ac:dyDescent="0.35">
      <c r="A1468" t="s">
        <v>5574</v>
      </c>
    </row>
    <row r="1469" spans="1:1" x14ac:dyDescent="0.35">
      <c r="A1469" t="s">
        <v>5575</v>
      </c>
    </row>
    <row r="1470" spans="1:1" x14ac:dyDescent="0.35">
      <c r="A1470" t="s">
        <v>5576</v>
      </c>
    </row>
    <row r="1471" spans="1:1" x14ac:dyDescent="0.35">
      <c r="A1471" t="s">
        <v>5577</v>
      </c>
    </row>
    <row r="1472" spans="1:1" x14ac:dyDescent="0.35">
      <c r="A1472" t="s">
        <v>5578</v>
      </c>
    </row>
    <row r="1473" spans="1:1" x14ac:dyDescent="0.35">
      <c r="A1473" t="s">
        <v>5579</v>
      </c>
    </row>
    <row r="1474" spans="1:1" x14ac:dyDescent="0.35">
      <c r="A1474" t="s">
        <v>5580</v>
      </c>
    </row>
    <row r="1475" spans="1:1" x14ac:dyDescent="0.35">
      <c r="A1475" t="s">
        <v>5581</v>
      </c>
    </row>
    <row r="1476" spans="1:1" x14ac:dyDescent="0.35">
      <c r="A1476" t="s">
        <v>5582</v>
      </c>
    </row>
    <row r="1477" spans="1:1" x14ac:dyDescent="0.35">
      <c r="A1477" t="s">
        <v>5583</v>
      </c>
    </row>
    <row r="1478" spans="1:1" x14ac:dyDescent="0.35">
      <c r="A1478" t="s">
        <v>5584</v>
      </c>
    </row>
    <row r="1479" spans="1:1" x14ac:dyDescent="0.35">
      <c r="A1479" t="s">
        <v>5585</v>
      </c>
    </row>
    <row r="1480" spans="1:1" x14ac:dyDescent="0.35">
      <c r="A1480" t="s">
        <v>5586</v>
      </c>
    </row>
    <row r="1481" spans="1:1" x14ac:dyDescent="0.35">
      <c r="A1481" t="s">
        <v>5587</v>
      </c>
    </row>
    <row r="1482" spans="1:1" x14ac:dyDescent="0.35">
      <c r="A1482" t="s">
        <v>5588</v>
      </c>
    </row>
    <row r="1483" spans="1:1" x14ac:dyDescent="0.35">
      <c r="A1483" t="s">
        <v>5589</v>
      </c>
    </row>
    <row r="1484" spans="1:1" x14ac:dyDescent="0.35">
      <c r="A1484" t="s">
        <v>5590</v>
      </c>
    </row>
    <row r="1485" spans="1:1" x14ac:dyDescent="0.35">
      <c r="A1485" t="s">
        <v>5591</v>
      </c>
    </row>
    <row r="1486" spans="1:1" x14ac:dyDescent="0.35">
      <c r="A1486" t="s">
        <v>5592</v>
      </c>
    </row>
    <row r="1487" spans="1:1" x14ac:dyDescent="0.35">
      <c r="A1487" t="s">
        <v>5593</v>
      </c>
    </row>
    <row r="1488" spans="1:1" x14ac:dyDescent="0.35">
      <c r="A1488" t="s">
        <v>5594</v>
      </c>
    </row>
    <row r="1489" spans="1:1" x14ac:dyDescent="0.35">
      <c r="A1489" t="s">
        <v>5595</v>
      </c>
    </row>
    <row r="1490" spans="1:1" x14ac:dyDescent="0.35">
      <c r="A1490" t="s">
        <v>5596</v>
      </c>
    </row>
    <row r="1491" spans="1:1" x14ac:dyDescent="0.35">
      <c r="A1491" t="s">
        <v>5597</v>
      </c>
    </row>
    <row r="1492" spans="1:1" x14ac:dyDescent="0.35">
      <c r="A1492" t="s">
        <v>5598</v>
      </c>
    </row>
    <row r="1493" spans="1:1" x14ac:dyDescent="0.35">
      <c r="A1493" t="s">
        <v>5599</v>
      </c>
    </row>
    <row r="1494" spans="1:1" x14ac:dyDescent="0.35">
      <c r="A1494" t="s">
        <v>5600</v>
      </c>
    </row>
    <row r="1495" spans="1:1" x14ac:dyDescent="0.35">
      <c r="A1495" t="s">
        <v>5601</v>
      </c>
    </row>
    <row r="1496" spans="1:1" x14ac:dyDescent="0.35">
      <c r="A1496" t="s">
        <v>5602</v>
      </c>
    </row>
    <row r="1497" spans="1:1" x14ac:dyDescent="0.35">
      <c r="A1497" t="s">
        <v>5603</v>
      </c>
    </row>
    <row r="1498" spans="1:1" x14ac:dyDescent="0.35">
      <c r="A1498" t="s">
        <v>5604</v>
      </c>
    </row>
    <row r="1499" spans="1:1" x14ac:dyDescent="0.35">
      <c r="A1499" t="s">
        <v>5605</v>
      </c>
    </row>
    <row r="1500" spans="1:1" x14ac:dyDescent="0.35">
      <c r="A1500" t="s">
        <v>5606</v>
      </c>
    </row>
    <row r="1501" spans="1:1" x14ac:dyDescent="0.35">
      <c r="A1501" t="s">
        <v>5607</v>
      </c>
    </row>
    <row r="1502" spans="1:1" x14ac:dyDescent="0.35">
      <c r="A1502" t="s">
        <v>5608</v>
      </c>
    </row>
    <row r="1503" spans="1:1" x14ac:dyDescent="0.35">
      <c r="A1503" t="s">
        <v>5609</v>
      </c>
    </row>
    <row r="1504" spans="1:1" x14ac:dyDescent="0.35">
      <c r="A1504" t="s">
        <v>5610</v>
      </c>
    </row>
    <row r="1505" spans="1:1" x14ac:dyDescent="0.35">
      <c r="A1505" t="s">
        <v>5611</v>
      </c>
    </row>
    <row r="1506" spans="1:1" x14ac:dyDescent="0.35">
      <c r="A1506" t="s">
        <v>5612</v>
      </c>
    </row>
    <row r="1507" spans="1:1" x14ac:dyDescent="0.35">
      <c r="A1507" t="s">
        <v>5613</v>
      </c>
    </row>
    <row r="1508" spans="1:1" x14ac:dyDescent="0.35">
      <c r="A1508" t="s">
        <v>5614</v>
      </c>
    </row>
    <row r="1509" spans="1:1" x14ac:dyDescent="0.35">
      <c r="A1509" t="s">
        <v>5615</v>
      </c>
    </row>
    <row r="1510" spans="1:1" x14ac:dyDescent="0.35">
      <c r="A1510" t="s">
        <v>5616</v>
      </c>
    </row>
    <row r="1511" spans="1:1" x14ac:dyDescent="0.35">
      <c r="A1511" t="s">
        <v>5617</v>
      </c>
    </row>
    <row r="1512" spans="1:1" x14ac:dyDescent="0.35">
      <c r="A1512" t="s">
        <v>5618</v>
      </c>
    </row>
    <row r="1513" spans="1:1" x14ac:dyDescent="0.35">
      <c r="A1513" t="s">
        <v>5619</v>
      </c>
    </row>
    <row r="1514" spans="1:1" x14ac:dyDescent="0.35">
      <c r="A1514" t="s">
        <v>5620</v>
      </c>
    </row>
    <row r="1515" spans="1:1" x14ac:dyDescent="0.35">
      <c r="A1515" t="s">
        <v>5621</v>
      </c>
    </row>
    <row r="1516" spans="1:1" x14ac:dyDescent="0.35">
      <c r="A1516" t="s">
        <v>5622</v>
      </c>
    </row>
    <row r="1517" spans="1:1" x14ac:dyDescent="0.35">
      <c r="A1517" t="s">
        <v>5623</v>
      </c>
    </row>
    <row r="1518" spans="1:1" x14ac:dyDescent="0.35">
      <c r="A1518" t="s">
        <v>5624</v>
      </c>
    </row>
    <row r="1519" spans="1:1" x14ac:dyDescent="0.35">
      <c r="A1519" t="s">
        <v>5625</v>
      </c>
    </row>
    <row r="1520" spans="1:1" x14ac:dyDescent="0.35">
      <c r="A1520" t="s">
        <v>5626</v>
      </c>
    </row>
    <row r="1521" spans="1:1" x14ac:dyDescent="0.35">
      <c r="A1521" t="s">
        <v>5627</v>
      </c>
    </row>
    <row r="1522" spans="1:1" x14ac:dyDescent="0.35">
      <c r="A1522" t="s">
        <v>5628</v>
      </c>
    </row>
    <row r="1523" spans="1:1" x14ac:dyDescent="0.35">
      <c r="A1523" t="s">
        <v>5629</v>
      </c>
    </row>
    <row r="1524" spans="1:1" x14ac:dyDescent="0.35">
      <c r="A1524" t="s">
        <v>5630</v>
      </c>
    </row>
    <row r="1525" spans="1:1" x14ac:dyDescent="0.35">
      <c r="A1525" t="s">
        <v>5631</v>
      </c>
    </row>
    <row r="1526" spans="1:1" x14ac:dyDescent="0.35">
      <c r="A1526" t="s">
        <v>5632</v>
      </c>
    </row>
    <row r="1527" spans="1:1" x14ac:dyDescent="0.35">
      <c r="A1527" t="s">
        <v>5633</v>
      </c>
    </row>
    <row r="1528" spans="1:1" x14ac:dyDescent="0.35">
      <c r="A1528" t="s">
        <v>5634</v>
      </c>
    </row>
    <row r="1529" spans="1:1" x14ac:dyDescent="0.35">
      <c r="A1529" t="s">
        <v>5635</v>
      </c>
    </row>
    <row r="1530" spans="1:1" x14ac:dyDescent="0.35">
      <c r="A1530" t="s">
        <v>5636</v>
      </c>
    </row>
    <row r="1531" spans="1:1" x14ac:dyDescent="0.35">
      <c r="A1531" t="s">
        <v>5637</v>
      </c>
    </row>
    <row r="1532" spans="1:1" x14ac:dyDescent="0.35">
      <c r="A1532" t="s">
        <v>5638</v>
      </c>
    </row>
    <row r="1533" spans="1:1" x14ac:dyDescent="0.35">
      <c r="A1533" t="s">
        <v>5639</v>
      </c>
    </row>
    <row r="1534" spans="1:1" x14ac:dyDescent="0.35">
      <c r="A1534" t="s">
        <v>5640</v>
      </c>
    </row>
    <row r="1535" spans="1:1" x14ac:dyDescent="0.35">
      <c r="A1535" t="s">
        <v>5641</v>
      </c>
    </row>
    <row r="1536" spans="1:1" x14ac:dyDescent="0.35">
      <c r="A1536" t="s">
        <v>5642</v>
      </c>
    </row>
    <row r="1537" spans="1:1" x14ac:dyDescent="0.35">
      <c r="A1537" t="s">
        <v>5643</v>
      </c>
    </row>
    <row r="1538" spans="1:1" x14ac:dyDescent="0.35">
      <c r="A1538" t="s">
        <v>5644</v>
      </c>
    </row>
    <row r="1539" spans="1:1" x14ac:dyDescent="0.35">
      <c r="A1539" t="s">
        <v>5645</v>
      </c>
    </row>
    <row r="1540" spans="1:1" x14ac:dyDescent="0.35">
      <c r="A1540" t="s">
        <v>5646</v>
      </c>
    </row>
    <row r="1541" spans="1:1" x14ac:dyDescent="0.35">
      <c r="A1541" t="s">
        <v>5647</v>
      </c>
    </row>
    <row r="1542" spans="1:1" x14ac:dyDescent="0.35">
      <c r="A1542" t="s">
        <v>5648</v>
      </c>
    </row>
    <row r="1543" spans="1:1" x14ac:dyDescent="0.35">
      <c r="A1543" t="s">
        <v>5649</v>
      </c>
    </row>
    <row r="1544" spans="1:1" x14ac:dyDescent="0.35">
      <c r="A1544" t="s">
        <v>5650</v>
      </c>
    </row>
    <row r="1545" spans="1:1" x14ac:dyDescent="0.35">
      <c r="A1545" t="s">
        <v>5651</v>
      </c>
    </row>
    <row r="1546" spans="1:1" x14ac:dyDescent="0.35">
      <c r="A1546" t="s">
        <v>5652</v>
      </c>
    </row>
    <row r="1547" spans="1:1" x14ac:dyDescent="0.35">
      <c r="A1547" t="s">
        <v>5653</v>
      </c>
    </row>
    <row r="1548" spans="1:1" x14ac:dyDescent="0.35">
      <c r="A1548" t="s">
        <v>5654</v>
      </c>
    </row>
    <row r="1549" spans="1:1" x14ac:dyDescent="0.35">
      <c r="A1549" t="s">
        <v>5655</v>
      </c>
    </row>
    <row r="1550" spans="1:1" x14ac:dyDescent="0.35">
      <c r="A1550" t="s">
        <v>5656</v>
      </c>
    </row>
    <row r="1551" spans="1:1" x14ac:dyDescent="0.35">
      <c r="A1551" t="s">
        <v>5657</v>
      </c>
    </row>
    <row r="1552" spans="1:1" x14ac:dyDescent="0.35">
      <c r="A1552" t="s">
        <v>5658</v>
      </c>
    </row>
    <row r="1553" spans="1:1" x14ac:dyDescent="0.35">
      <c r="A1553" t="s">
        <v>5659</v>
      </c>
    </row>
    <row r="1554" spans="1:1" x14ac:dyDescent="0.35">
      <c r="A1554" t="s">
        <v>5660</v>
      </c>
    </row>
    <row r="1555" spans="1:1" x14ac:dyDescent="0.35">
      <c r="A1555" t="s">
        <v>5661</v>
      </c>
    </row>
    <row r="1556" spans="1:1" x14ac:dyDescent="0.35">
      <c r="A1556" t="s">
        <v>5662</v>
      </c>
    </row>
    <row r="1557" spans="1:1" x14ac:dyDescent="0.35">
      <c r="A1557" t="s">
        <v>5663</v>
      </c>
    </row>
    <row r="1558" spans="1:1" x14ac:dyDescent="0.35">
      <c r="A1558" t="s">
        <v>5664</v>
      </c>
    </row>
    <row r="1559" spans="1:1" x14ac:dyDescent="0.35">
      <c r="A1559" t="s">
        <v>5665</v>
      </c>
    </row>
    <row r="1560" spans="1:1" x14ac:dyDescent="0.35">
      <c r="A1560" t="s">
        <v>5666</v>
      </c>
    </row>
    <row r="1561" spans="1:1" x14ac:dyDescent="0.35">
      <c r="A1561" t="s">
        <v>5667</v>
      </c>
    </row>
    <row r="1562" spans="1:1" x14ac:dyDescent="0.35">
      <c r="A1562" t="s">
        <v>5668</v>
      </c>
    </row>
    <row r="1563" spans="1:1" x14ac:dyDescent="0.35">
      <c r="A1563" t="s">
        <v>5669</v>
      </c>
    </row>
    <row r="1564" spans="1:1" x14ac:dyDescent="0.35">
      <c r="A1564" t="s">
        <v>5670</v>
      </c>
    </row>
    <row r="1565" spans="1:1" x14ac:dyDescent="0.35">
      <c r="A1565" t="s">
        <v>5671</v>
      </c>
    </row>
    <row r="1566" spans="1:1" x14ac:dyDescent="0.35">
      <c r="A1566" t="s">
        <v>5672</v>
      </c>
    </row>
    <row r="1567" spans="1:1" x14ac:dyDescent="0.35">
      <c r="A1567" t="s">
        <v>5673</v>
      </c>
    </row>
    <row r="1568" spans="1:1" x14ac:dyDescent="0.35">
      <c r="A1568" t="s">
        <v>5674</v>
      </c>
    </row>
    <row r="1569" spans="1:1" x14ac:dyDescent="0.35">
      <c r="A1569" t="s">
        <v>5675</v>
      </c>
    </row>
    <row r="1570" spans="1:1" x14ac:dyDescent="0.35">
      <c r="A1570" t="s">
        <v>5676</v>
      </c>
    </row>
    <row r="1571" spans="1:1" x14ac:dyDescent="0.35">
      <c r="A1571" t="s">
        <v>5677</v>
      </c>
    </row>
    <row r="1572" spans="1:1" x14ac:dyDescent="0.35">
      <c r="A1572" t="s">
        <v>5678</v>
      </c>
    </row>
    <row r="1573" spans="1:1" x14ac:dyDescent="0.35">
      <c r="A1573" t="s">
        <v>5679</v>
      </c>
    </row>
    <row r="1574" spans="1:1" x14ac:dyDescent="0.35">
      <c r="A1574" t="s">
        <v>5680</v>
      </c>
    </row>
    <row r="1575" spans="1:1" x14ac:dyDescent="0.35">
      <c r="A1575" t="s">
        <v>5681</v>
      </c>
    </row>
    <row r="1576" spans="1:1" x14ac:dyDescent="0.35">
      <c r="A1576" t="s">
        <v>5682</v>
      </c>
    </row>
    <row r="1577" spans="1:1" x14ac:dyDescent="0.35">
      <c r="A1577" t="s">
        <v>5683</v>
      </c>
    </row>
    <row r="1578" spans="1:1" x14ac:dyDescent="0.35">
      <c r="A1578" t="s">
        <v>5684</v>
      </c>
    </row>
    <row r="1579" spans="1:1" x14ac:dyDescent="0.35">
      <c r="A1579" t="s">
        <v>5685</v>
      </c>
    </row>
    <row r="1580" spans="1:1" x14ac:dyDescent="0.35">
      <c r="A1580" t="s">
        <v>5686</v>
      </c>
    </row>
    <row r="1581" spans="1:1" x14ac:dyDescent="0.35">
      <c r="A1581" t="s">
        <v>5687</v>
      </c>
    </row>
    <row r="1582" spans="1:1" x14ac:dyDescent="0.35">
      <c r="A1582" t="s">
        <v>5688</v>
      </c>
    </row>
    <row r="1583" spans="1:1" x14ac:dyDescent="0.35">
      <c r="A1583" t="s">
        <v>5689</v>
      </c>
    </row>
    <row r="1584" spans="1:1" x14ac:dyDescent="0.35">
      <c r="A1584" t="s">
        <v>5690</v>
      </c>
    </row>
    <row r="1585" spans="1:1" x14ac:dyDescent="0.35">
      <c r="A1585" t="s">
        <v>5691</v>
      </c>
    </row>
    <row r="1586" spans="1:1" x14ac:dyDescent="0.35">
      <c r="A1586" t="s">
        <v>5692</v>
      </c>
    </row>
    <row r="1587" spans="1:1" x14ac:dyDescent="0.35">
      <c r="A1587" t="s">
        <v>5693</v>
      </c>
    </row>
    <row r="1588" spans="1:1" x14ac:dyDescent="0.35">
      <c r="A1588" t="s">
        <v>5694</v>
      </c>
    </row>
    <row r="1589" spans="1:1" x14ac:dyDescent="0.35">
      <c r="A1589" t="s">
        <v>5695</v>
      </c>
    </row>
    <row r="1590" spans="1:1" x14ac:dyDescent="0.35">
      <c r="A1590" t="s">
        <v>5696</v>
      </c>
    </row>
    <row r="1591" spans="1:1" x14ac:dyDescent="0.35">
      <c r="A1591" t="s">
        <v>5697</v>
      </c>
    </row>
    <row r="1592" spans="1:1" x14ac:dyDescent="0.35">
      <c r="A1592" t="s">
        <v>5698</v>
      </c>
    </row>
    <row r="1593" spans="1:1" x14ac:dyDescent="0.35">
      <c r="A1593" t="s">
        <v>5699</v>
      </c>
    </row>
    <row r="1594" spans="1:1" x14ac:dyDescent="0.35">
      <c r="A1594" t="s">
        <v>5700</v>
      </c>
    </row>
    <row r="1595" spans="1:1" x14ac:dyDescent="0.35">
      <c r="A1595" t="s">
        <v>5701</v>
      </c>
    </row>
    <row r="1596" spans="1:1" x14ac:dyDescent="0.35">
      <c r="A1596" t="s">
        <v>5702</v>
      </c>
    </row>
    <row r="1597" spans="1:1" x14ac:dyDescent="0.35">
      <c r="A1597" t="s">
        <v>5703</v>
      </c>
    </row>
    <row r="1598" spans="1:1" x14ac:dyDescent="0.35">
      <c r="A1598" t="s">
        <v>5704</v>
      </c>
    </row>
    <row r="1599" spans="1:1" x14ac:dyDescent="0.35">
      <c r="A1599" t="s">
        <v>5705</v>
      </c>
    </row>
    <row r="1600" spans="1:1" x14ac:dyDescent="0.35">
      <c r="A1600" t="s">
        <v>5706</v>
      </c>
    </row>
    <row r="1601" spans="1:1" x14ac:dyDescent="0.35">
      <c r="A1601" t="s">
        <v>5707</v>
      </c>
    </row>
    <row r="1602" spans="1:1" x14ac:dyDescent="0.35">
      <c r="A1602" t="s">
        <v>5708</v>
      </c>
    </row>
    <row r="1603" spans="1:1" x14ac:dyDescent="0.35">
      <c r="A1603" t="s">
        <v>5709</v>
      </c>
    </row>
    <row r="1604" spans="1:1" x14ac:dyDescent="0.35">
      <c r="A1604" t="s">
        <v>5710</v>
      </c>
    </row>
    <row r="1605" spans="1:1" x14ac:dyDescent="0.35">
      <c r="A1605" t="s">
        <v>5711</v>
      </c>
    </row>
    <row r="1606" spans="1:1" x14ac:dyDescent="0.35">
      <c r="A1606" t="s">
        <v>5712</v>
      </c>
    </row>
    <row r="1607" spans="1:1" x14ac:dyDescent="0.35">
      <c r="A1607" t="s">
        <v>5713</v>
      </c>
    </row>
    <row r="1608" spans="1:1" x14ac:dyDescent="0.35">
      <c r="A1608" t="s">
        <v>5714</v>
      </c>
    </row>
    <row r="1609" spans="1:1" x14ac:dyDescent="0.35">
      <c r="A1609" t="s">
        <v>5715</v>
      </c>
    </row>
    <row r="1610" spans="1:1" x14ac:dyDescent="0.35">
      <c r="A1610" t="s">
        <v>5716</v>
      </c>
    </row>
    <row r="1611" spans="1:1" x14ac:dyDescent="0.35">
      <c r="A1611" t="s">
        <v>5717</v>
      </c>
    </row>
    <row r="1612" spans="1:1" x14ac:dyDescent="0.35">
      <c r="A1612" t="s">
        <v>5718</v>
      </c>
    </row>
    <row r="1613" spans="1:1" x14ac:dyDescent="0.35">
      <c r="A1613" t="s">
        <v>5719</v>
      </c>
    </row>
    <row r="1614" spans="1:1" x14ac:dyDescent="0.35">
      <c r="A1614" t="s">
        <v>5720</v>
      </c>
    </row>
    <row r="1615" spans="1:1" x14ac:dyDescent="0.35">
      <c r="A1615" t="s">
        <v>5721</v>
      </c>
    </row>
    <row r="1616" spans="1:1" x14ac:dyDescent="0.35">
      <c r="A1616" t="s">
        <v>5722</v>
      </c>
    </row>
    <row r="1617" spans="1:1" x14ac:dyDescent="0.35">
      <c r="A1617" t="s">
        <v>5723</v>
      </c>
    </row>
    <row r="1618" spans="1:1" x14ac:dyDescent="0.35">
      <c r="A1618" t="s">
        <v>5724</v>
      </c>
    </row>
    <row r="1619" spans="1:1" x14ac:dyDescent="0.35">
      <c r="A1619" t="s">
        <v>5725</v>
      </c>
    </row>
    <row r="1620" spans="1:1" x14ac:dyDescent="0.35">
      <c r="A1620" t="s">
        <v>5726</v>
      </c>
    </row>
    <row r="1621" spans="1:1" x14ac:dyDescent="0.35">
      <c r="A1621" t="s">
        <v>5727</v>
      </c>
    </row>
    <row r="1622" spans="1:1" x14ac:dyDescent="0.35">
      <c r="A1622" t="s">
        <v>5728</v>
      </c>
    </row>
    <row r="1623" spans="1:1" x14ac:dyDescent="0.35">
      <c r="A1623" t="s">
        <v>5729</v>
      </c>
    </row>
    <row r="1624" spans="1:1" x14ac:dyDescent="0.35">
      <c r="A1624" t="s">
        <v>5730</v>
      </c>
    </row>
    <row r="1625" spans="1:1" x14ac:dyDescent="0.35">
      <c r="A1625" t="s">
        <v>5731</v>
      </c>
    </row>
    <row r="1626" spans="1:1" x14ac:dyDescent="0.35">
      <c r="A1626" t="s">
        <v>5732</v>
      </c>
    </row>
    <row r="1627" spans="1:1" x14ac:dyDescent="0.35">
      <c r="A1627" t="s">
        <v>5733</v>
      </c>
    </row>
    <row r="1628" spans="1:1" x14ac:dyDescent="0.35">
      <c r="A1628" t="s">
        <v>5734</v>
      </c>
    </row>
    <row r="1629" spans="1:1" x14ac:dyDescent="0.35">
      <c r="A1629" t="s">
        <v>5735</v>
      </c>
    </row>
    <row r="1630" spans="1:1" x14ac:dyDescent="0.35">
      <c r="A1630" t="s">
        <v>5736</v>
      </c>
    </row>
    <row r="1631" spans="1:1" x14ac:dyDescent="0.35">
      <c r="A1631" t="s">
        <v>5737</v>
      </c>
    </row>
    <row r="1632" spans="1:1" x14ac:dyDescent="0.35">
      <c r="A1632" t="s">
        <v>5738</v>
      </c>
    </row>
    <row r="1633" spans="1:1" x14ac:dyDescent="0.35">
      <c r="A1633" t="s">
        <v>5739</v>
      </c>
    </row>
    <row r="1634" spans="1:1" x14ac:dyDescent="0.35">
      <c r="A1634" t="s">
        <v>5740</v>
      </c>
    </row>
    <row r="1635" spans="1:1" x14ac:dyDescent="0.35">
      <c r="A1635" t="s">
        <v>5741</v>
      </c>
    </row>
    <row r="1636" spans="1:1" x14ac:dyDescent="0.35">
      <c r="A1636" t="s">
        <v>5742</v>
      </c>
    </row>
    <row r="1637" spans="1:1" x14ac:dyDescent="0.35">
      <c r="A1637" t="s">
        <v>5743</v>
      </c>
    </row>
    <row r="1638" spans="1:1" x14ac:dyDescent="0.35">
      <c r="A1638" t="s">
        <v>5744</v>
      </c>
    </row>
    <row r="1639" spans="1:1" x14ac:dyDescent="0.35">
      <c r="A1639" t="s">
        <v>5745</v>
      </c>
    </row>
    <row r="1640" spans="1:1" x14ac:dyDescent="0.35">
      <c r="A1640" t="s">
        <v>5746</v>
      </c>
    </row>
    <row r="1641" spans="1:1" x14ac:dyDescent="0.35">
      <c r="A1641" t="s">
        <v>5747</v>
      </c>
    </row>
    <row r="1642" spans="1:1" x14ac:dyDescent="0.35">
      <c r="A1642" t="s">
        <v>5748</v>
      </c>
    </row>
    <row r="1643" spans="1:1" x14ac:dyDescent="0.35">
      <c r="A1643" t="s">
        <v>5749</v>
      </c>
    </row>
    <row r="1644" spans="1:1" x14ac:dyDescent="0.35">
      <c r="A1644" t="s">
        <v>5750</v>
      </c>
    </row>
    <row r="1645" spans="1:1" x14ac:dyDescent="0.35">
      <c r="A1645" t="s">
        <v>5751</v>
      </c>
    </row>
    <row r="1646" spans="1:1" x14ac:dyDescent="0.35">
      <c r="A1646" t="s">
        <v>5752</v>
      </c>
    </row>
    <row r="1647" spans="1:1" x14ac:dyDescent="0.35">
      <c r="A1647" t="s">
        <v>5753</v>
      </c>
    </row>
    <row r="1648" spans="1:1" x14ac:dyDescent="0.35">
      <c r="A1648" t="s">
        <v>5754</v>
      </c>
    </row>
    <row r="1649" spans="1:1" x14ac:dyDescent="0.35">
      <c r="A1649" t="s">
        <v>5755</v>
      </c>
    </row>
    <row r="1650" spans="1:1" x14ac:dyDescent="0.35">
      <c r="A1650" t="s">
        <v>5756</v>
      </c>
    </row>
    <row r="1651" spans="1:1" x14ac:dyDescent="0.35">
      <c r="A1651" t="s">
        <v>5757</v>
      </c>
    </row>
    <row r="1652" spans="1:1" x14ac:dyDescent="0.35">
      <c r="A1652" t="s">
        <v>5758</v>
      </c>
    </row>
    <row r="1653" spans="1:1" x14ac:dyDescent="0.35">
      <c r="A1653" t="s">
        <v>5759</v>
      </c>
    </row>
    <row r="1654" spans="1:1" x14ac:dyDescent="0.35">
      <c r="A1654" t="s">
        <v>5760</v>
      </c>
    </row>
    <row r="1655" spans="1:1" x14ac:dyDescent="0.35">
      <c r="A1655" t="s">
        <v>5761</v>
      </c>
    </row>
    <row r="1656" spans="1:1" x14ac:dyDescent="0.35">
      <c r="A1656" t="s">
        <v>5762</v>
      </c>
    </row>
    <row r="1657" spans="1:1" x14ac:dyDescent="0.35">
      <c r="A1657" t="s">
        <v>5763</v>
      </c>
    </row>
    <row r="1658" spans="1:1" x14ac:dyDescent="0.35">
      <c r="A1658" t="s">
        <v>5764</v>
      </c>
    </row>
    <row r="1659" spans="1:1" x14ac:dyDescent="0.35">
      <c r="A1659" t="s">
        <v>5765</v>
      </c>
    </row>
    <row r="1660" spans="1:1" x14ac:dyDescent="0.35">
      <c r="A1660" t="s">
        <v>5766</v>
      </c>
    </row>
    <row r="1661" spans="1:1" x14ac:dyDescent="0.35">
      <c r="A1661" t="s">
        <v>5767</v>
      </c>
    </row>
    <row r="1662" spans="1:1" x14ac:dyDescent="0.35">
      <c r="A1662" t="s">
        <v>5768</v>
      </c>
    </row>
    <row r="1663" spans="1:1" x14ac:dyDescent="0.35">
      <c r="A1663" t="s">
        <v>5769</v>
      </c>
    </row>
    <row r="1664" spans="1:1" x14ac:dyDescent="0.35">
      <c r="A1664" t="s">
        <v>5770</v>
      </c>
    </row>
    <row r="1665" spans="1:1" x14ac:dyDescent="0.35">
      <c r="A1665" t="s">
        <v>5771</v>
      </c>
    </row>
    <row r="1666" spans="1:1" x14ac:dyDescent="0.35">
      <c r="A1666" t="s">
        <v>5772</v>
      </c>
    </row>
    <row r="1667" spans="1:1" x14ac:dyDescent="0.35">
      <c r="A1667" t="s">
        <v>5773</v>
      </c>
    </row>
    <row r="1668" spans="1:1" x14ac:dyDescent="0.35">
      <c r="A1668" t="s">
        <v>5774</v>
      </c>
    </row>
    <row r="1669" spans="1:1" x14ac:dyDescent="0.35">
      <c r="A1669" t="s">
        <v>5775</v>
      </c>
    </row>
    <row r="1670" spans="1:1" x14ac:dyDescent="0.35">
      <c r="A1670" t="s">
        <v>5776</v>
      </c>
    </row>
    <row r="1671" spans="1:1" x14ac:dyDescent="0.35">
      <c r="A1671" t="s">
        <v>5777</v>
      </c>
    </row>
    <row r="1672" spans="1:1" x14ac:dyDescent="0.35">
      <c r="A1672" t="s">
        <v>5778</v>
      </c>
    </row>
    <row r="1673" spans="1:1" x14ac:dyDescent="0.35">
      <c r="A1673" t="s">
        <v>5779</v>
      </c>
    </row>
    <row r="1674" spans="1:1" x14ac:dyDescent="0.35">
      <c r="A1674" t="s">
        <v>5780</v>
      </c>
    </row>
    <row r="1675" spans="1:1" x14ac:dyDescent="0.35">
      <c r="A1675" t="s">
        <v>5781</v>
      </c>
    </row>
    <row r="1676" spans="1:1" x14ac:dyDescent="0.35">
      <c r="A1676" t="s">
        <v>5782</v>
      </c>
    </row>
    <row r="1677" spans="1:1" x14ac:dyDescent="0.35">
      <c r="A1677" t="s">
        <v>5783</v>
      </c>
    </row>
    <row r="1678" spans="1:1" x14ac:dyDescent="0.35">
      <c r="A1678" t="s">
        <v>5784</v>
      </c>
    </row>
    <row r="1679" spans="1:1" x14ac:dyDescent="0.35">
      <c r="A1679" t="s">
        <v>5785</v>
      </c>
    </row>
    <row r="1680" spans="1:1" x14ac:dyDescent="0.35">
      <c r="A1680" t="s">
        <v>5786</v>
      </c>
    </row>
    <row r="1681" spans="1:1" x14ac:dyDescent="0.35">
      <c r="A1681" t="s">
        <v>5787</v>
      </c>
    </row>
    <row r="1682" spans="1:1" x14ac:dyDescent="0.35">
      <c r="A1682" t="s">
        <v>5788</v>
      </c>
    </row>
    <row r="1683" spans="1:1" x14ac:dyDescent="0.35">
      <c r="A1683" t="s">
        <v>5789</v>
      </c>
    </row>
    <row r="1684" spans="1:1" x14ac:dyDescent="0.35">
      <c r="A1684" t="s">
        <v>5790</v>
      </c>
    </row>
    <row r="1685" spans="1:1" x14ac:dyDescent="0.35">
      <c r="A1685" t="s">
        <v>5791</v>
      </c>
    </row>
    <row r="1686" spans="1:1" x14ac:dyDescent="0.35">
      <c r="A1686" t="s">
        <v>5792</v>
      </c>
    </row>
    <row r="1687" spans="1:1" x14ac:dyDescent="0.35">
      <c r="A1687" t="s">
        <v>5793</v>
      </c>
    </row>
    <row r="1688" spans="1:1" x14ac:dyDescent="0.35">
      <c r="A1688" t="s">
        <v>5794</v>
      </c>
    </row>
    <row r="1689" spans="1:1" x14ac:dyDescent="0.35">
      <c r="A1689" t="s">
        <v>5795</v>
      </c>
    </row>
    <row r="1690" spans="1:1" x14ac:dyDescent="0.35">
      <c r="A1690" t="s">
        <v>5796</v>
      </c>
    </row>
    <row r="1691" spans="1:1" x14ac:dyDescent="0.35">
      <c r="A1691" t="s">
        <v>5797</v>
      </c>
    </row>
    <row r="1692" spans="1:1" x14ac:dyDescent="0.35">
      <c r="A1692" t="s">
        <v>5798</v>
      </c>
    </row>
    <row r="1693" spans="1:1" x14ac:dyDescent="0.35">
      <c r="A1693" t="s">
        <v>5799</v>
      </c>
    </row>
    <row r="1694" spans="1:1" x14ac:dyDescent="0.35">
      <c r="A1694" t="s">
        <v>5800</v>
      </c>
    </row>
    <row r="1695" spans="1:1" x14ac:dyDescent="0.35">
      <c r="A1695" t="s">
        <v>5801</v>
      </c>
    </row>
    <row r="1696" spans="1:1" x14ac:dyDescent="0.35">
      <c r="A1696" t="s">
        <v>5802</v>
      </c>
    </row>
    <row r="1697" spans="1:1" x14ac:dyDescent="0.35">
      <c r="A1697" t="s">
        <v>5803</v>
      </c>
    </row>
    <row r="1698" spans="1:1" x14ac:dyDescent="0.35">
      <c r="A1698" t="s">
        <v>5804</v>
      </c>
    </row>
    <row r="1699" spans="1:1" x14ac:dyDescent="0.35">
      <c r="A1699" t="s">
        <v>5805</v>
      </c>
    </row>
    <row r="1700" spans="1:1" x14ac:dyDescent="0.35">
      <c r="A1700" t="s">
        <v>5806</v>
      </c>
    </row>
    <row r="1701" spans="1:1" x14ac:dyDescent="0.35">
      <c r="A1701" t="s">
        <v>5807</v>
      </c>
    </row>
    <row r="1702" spans="1:1" x14ac:dyDescent="0.35">
      <c r="A1702" t="s">
        <v>5808</v>
      </c>
    </row>
    <row r="1703" spans="1:1" x14ac:dyDescent="0.35">
      <c r="A1703" t="s">
        <v>5809</v>
      </c>
    </row>
    <row r="1704" spans="1:1" x14ac:dyDescent="0.35">
      <c r="A1704" t="s">
        <v>5810</v>
      </c>
    </row>
    <row r="1705" spans="1:1" x14ac:dyDescent="0.35">
      <c r="A1705" t="s">
        <v>5811</v>
      </c>
    </row>
    <row r="1706" spans="1:1" x14ac:dyDescent="0.35">
      <c r="A1706" t="s">
        <v>5812</v>
      </c>
    </row>
    <row r="1707" spans="1:1" x14ac:dyDescent="0.35">
      <c r="A1707" t="s">
        <v>5813</v>
      </c>
    </row>
    <row r="1708" spans="1:1" x14ac:dyDescent="0.35">
      <c r="A1708" t="s">
        <v>5814</v>
      </c>
    </row>
    <row r="1709" spans="1:1" x14ac:dyDescent="0.35">
      <c r="A1709" t="s">
        <v>5815</v>
      </c>
    </row>
    <row r="1710" spans="1:1" x14ac:dyDescent="0.35">
      <c r="A1710" t="s">
        <v>5816</v>
      </c>
    </row>
    <row r="1711" spans="1:1" x14ac:dyDescent="0.35">
      <c r="A1711" t="s">
        <v>5817</v>
      </c>
    </row>
    <row r="1712" spans="1:1" x14ac:dyDescent="0.35">
      <c r="A1712" t="s">
        <v>5818</v>
      </c>
    </row>
    <row r="1713" spans="1:1" x14ac:dyDescent="0.35">
      <c r="A1713" t="s">
        <v>5819</v>
      </c>
    </row>
    <row r="1714" spans="1:1" x14ac:dyDescent="0.35">
      <c r="A1714" t="s">
        <v>5820</v>
      </c>
    </row>
    <row r="1715" spans="1:1" x14ac:dyDescent="0.35">
      <c r="A1715" t="s">
        <v>5821</v>
      </c>
    </row>
    <row r="1716" spans="1:1" x14ac:dyDescent="0.35">
      <c r="A1716" t="s">
        <v>5822</v>
      </c>
    </row>
    <row r="1717" spans="1:1" x14ac:dyDescent="0.35">
      <c r="A1717" t="s">
        <v>5823</v>
      </c>
    </row>
    <row r="1718" spans="1:1" x14ac:dyDescent="0.35">
      <c r="A1718" t="s">
        <v>5824</v>
      </c>
    </row>
    <row r="1719" spans="1:1" x14ac:dyDescent="0.35">
      <c r="A1719" t="s">
        <v>5825</v>
      </c>
    </row>
    <row r="1720" spans="1:1" x14ac:dyDescent="0.35">
      <c r="A1720" t="s">
        <v>5826</v>
      </c>
    </row>
    <row r="1721" spans="1:1" x14ac:dyDescent="0.35">
      <c r="A1721" t="s">
        <v>5827</v>
      </c>
    </row>
    <row r="1722" spans="1:1" x14ac:dyDescent="0.35">
      <c r="A1722" t="s">
        <v>5828</v>
      </c>
    </row>
    <row r="1723" spans="1:1" x14ac:dyDescent="0.35">
      <c r="A1723" t="s">
        <v>5829</v>
      </c>
    </row>
    <row r="1724" spans="1:1" x14ac:dyDescent="0.35">
      <c r="A1724" t="s">
        <v>5830</v>
      </c>
    </row>
    <row r="1725" spans="1:1" x14ac:dyDescent="0.35">
      <c r="A1725" t="s">
        <v>5831</v>
      </c>
    </row>
    <row r="1726" spans="1:1" x14ac:dyDescent="0.35">
      <c r="A1726" t="s">
        <v>5832</v>
      </c>
    </row>
    <row r="1727" spans="1:1" x14ac:dyDescent="0.35">
      <c r="A1727" t="s">
        <v>5833</v>
      </c>
    </row>
    <row r="1728" spans="1:1" x14ac:dyDescent="0.35">
      <c r="A1728" t="s">
        <v>5834</v>
      </c>
    </row>
    <row r="1729" spans="1:1" x14ac:dyDescent="0.35">
      <c r="A1729" t="s">
        <v>5835</v>
      </c>
    </row>
    <row r="1730" spans="1:1" x14ac:dyDescent="0.35">
      <c r="A1730" t="s">
        <v>5836</v>
      </c>
    </row>
    <row r="1731" spans="1:1" x14ac:dyDescent="0.35">
      <c r="A1731" t="s">
        <v>5837</v>
      </c>
    </row>
    <row r="1732" spans="1:1" x14ac:dyDescent="0.35">
      <c r="A1732" t="s">
        <v>5838</v>
      </c>
    </row>
    <row r="1733" spans="1:1" x14ac:dyDescent="0.35">
      <c r="A1733" t="s">
        <v>5839</v>
      </c>
    </row>
    <row r="1734" spans="1:1" x14ac:dyDescent="0.35">
      <c r="A1734" t="s">
        <v>5840</v>
      </c>
    </row>
    <row r="1735" spans="1:1" x14ac:dyDescent="0.35">
      <c r="A1735" t="s">
        <v>5841</v>
      </c>
    </row>
    <row r="1736" spans="1:1" x14ac:dyDescent="0.35">
      <c r="A1736" t="s">
        <v>5842</v>
      </c>
    </row>
    <row r="1737" spans="1:1" x14ac:dyDescent="0.35">
      <c r="A1737" t="s">
        <v>5843</v>
      </c>
    </row>
    <row r="1738" spans="1:1" x14ac:dyDescent="0.35">
      <c r="A1738" t="s">
        <v>5844</v>
      </c>
    </row>
    <row r="1739" spans="1:1" x14ac:dyDescent="0.35">
      <c r="A1739" t="s">
        <v>5845</v>
      </c>
    </row>
    <row r="1740" spans="1:1" x14ac:dyDescent="0.35">
      <c r="A1740" t="s">
        <v>5846</v>
      </c>
    </row>
    <row r="1741" spans="1:1" x14ac:dyDescent="0.35">
      <c r="A1741" t="s">
        <v>5847</v>
      </c>
    </row>
    <row r="1742" spans="1:1" x14ac:dyDescent="0.35">
      <c r="A1742" t="s">
        <v>5848</v>
      </c>
    </row>
    <row r="1743" spans="1:1" x14ac:dyDescent="0.35">
      <c r="A1743" t="s">
        <v>5849</v>
      </c>
    </row>
    <row r="1744" spans="1:1" x14ac:dyDescent="0.35">
      <c r="A1744" t="s">
        <v>5850</v>
      </c>
    </row>
    <row r="1745" spans="1:1" x14ac:dyDescent="0.35">
      <c r="A1745" t="s">
        <v>5851</v>
      </c>
    </row>
    <row r="1746" spans="1:1" x14ac:dyDescent="0.35">
      <c r="A1746" t="s">
        <v>5852</v>
      </c>
    </row>
    <row r="1747" spans="1:1" x14ac:dyDescent="0.35">
      <c r="A1747" t="s">
        <v>5853</v>
      </c>
    </row>
    <row r="1748" spans="1:1" x14ac:dyDescent="0.35">
      <c r="A1748" t="s">
        <v>5854</v>
      </c>
    </row>
    <row r="1749" spans="1:1" x14ac:dyDescent="0.35">
      <c r="A1749" t="s">
        <v>5855</v>
      </c>
    </row>
    <row r="1750" spans="1:1" x14ac:dyDescent="0.35">
      <c r="A1750" t="s">
        <v>5856</v>
      </c>
    </row>
    <row r="1751" spans="1:1" x14ac:dyDescent="0.35">
      <c r="A1751" t="s">
        <v>5857</v>
      </c>
    </row>
    <row r="1752" spans="1:1" x14ac:dyDescent="0.35">
      <c r="A1752" t="s">
        <v>5858</v>
      </c>
    </row>
    <row r="1753" spans="1:1" x14ac:dyDescent="0.35">
      <c r="A1753" t="s">
        <v>5859</v>
      </c>
    </row>
    <row r="1754" spans="1:1" x14ac:dyDescent="0.35">
      <c r="A1754" t="s">
        <v>5860</v>
      </c>
    </row>
    <row r="1755" spans="1:1" x14ac:dyDescent="0.35">
      <c r="A1755" t="s">
        <v>5861</v>
      </c>
    </row>
    <row r="1756" spans="1:1" x14ac:dyDescent="0.35">
      <c r="A1756" t="s">
        <v>5862</v>
      </c>
    </row>
    <row r="1757" spans="1:1" x14ac:dyDescent="0.35">
      <c r="A1757" t="s">
        <v>5863</v>
      </c>
    </row>
    <row r="1758" spans="1:1" x14ac:dyDescent="0.35">
      <c r="A1758" t="s">
        <v>5864</v>
      </c>
    </row>
    <row r="1759" spans="1:1" x14ac:dyDescent="0.35">
      <c r="A1759" t="s">
        <v>5865</v>
      </c>
    </row>
    <row r="1760" spans="1:1" x14ac:dyDescent="0.35">
      <c r="A1760" t="s">
        <v>5866</v>
      </c>
    </row>
    <row r="1761" spans="1:1" x14ac:dyDescent="0.35">
      <c r="A1761" t="s">
        <v>5867</v>
      </c>
    </row>
    <row r="1762" spans="1:1" x14ac:dyDescent="0.35">
      <c r="A1762" t="s">
        <v>5868</v>
      </c>
    </row>
    <row r="1763" spans="1:1" x14ac:dyDescent="0.35">
      <c r="A1763" t="s">
        <v>5869</v>
      </c>
    </row>
    <row r="1764" spans="1:1" x14ac:dyDescent="0.35">
      <c r="A1764" t="s">
        <v>5870</v>
      </c>
    </row>
    <row r="1765" spans="1:1" x14ac:dyDescent="0.35">
      <c r="A1765" t="s">
        <v>5871</v>
      </c>
    </row>
    <row r="1766" spans="1:1" x14ac:dyDescent="0.35">
      <c r="A1766" t="s">
        <v>5872</v>
      </c>
    </row>
    <row r="1767" spans="1:1" x14ac:dyDescent="0.35">
      <c r="A1767" t="s">
        <v>5873</v>
      </c>
    </row>
    <row r="1768" spans="1:1" x14ac:dyDescent="0.35">
      <c r="A1768" t="s">
        <v>5874</v>
      </c>
    </row>
    <row r="1769" spans="1:1" x14ac:dyDescent="0.35">
      <c r="A1769" t="s">
        <v>5875</v>
      </c>
    </row>
    <row r="1770" spans="1:1" x14ac:dyDescent="0.35">
      <c r="A1770" t="s">
        <v>5876</v>
      </c>
    </row>
    <row r="1771" spans="1:1" x14ac:dyDescent="0.35">
      <c r="A1771" t="s">
        <v>5877</v>
      </c>
    </row>
    <row r="1772" spans="1:1" x14ac:dyDescent="0.35">
      <c r="A1772" t="s">
        <v>5878</v>
      </c>
    </row>
    <row r="1773" spans="1:1" x14ac:dyDescent="0.35">
      <c r="A1773" t="s">
        <v>5879</v>
      </c>
    </row>
    <row r="1774" spans="1:1" x14ac:dyDescent="0.35">
      <c r="A1774" t="s">
        <v>5880</v>
      </c>
    </row>
    <row r="1775" spans="1:1" x14ac:dyDescent="0.35">
      <c r="A1775" t="s">
        <v>5881</v>
      </c>
    </row>
    <row r="1776" spans="1:1" x14ac:dyDescent="0.35">
      <c r="A1776" t="s">
        <v>5882</v>
      </c>
    </row>
    <row r="1777" spans="1:1" x14ac:dyDescent="0.35">
      <c r="A1777" t="s">
        <v>5883</v>
      </c>
    </row>
    <row r="1778" spans="1:1" x14ac:dyDescent="0.35">
      <c r="A1778" t="s">
        <v>5884</v>
      </c>
    </row>
    <row r="1779" spans="1:1" x14ac:dyDescent="0.35">
      <c r="A1779" t="s">
        <v>5885</v>
      </c>
    </row>
    <row r="1780" spans="1:1" x14ac:dyDescent="0.35">
      <c r="A1780" t="s">
        <v>5886</v>
      </c>
    </row>
    <row r="1781" spans="1:1" x14ac:dyDescent="0.35">
      <c r="A1781" t="s">
        <v>5887</v>
      </c>
    </row>
    <row r="1782" spans="1:1" x14ac:dyDescent="0.35">
      <c r="A1782" t="s">
        <v>5888</v>
      </c>
    </row>
    <row r="1783" spans="1:1" x14ac:dyDescent="0.35">
      <c r="A1783" t="s">
        <v>5889</v>
      </c>
    </row>
    <row r="1784" spans="1:1" x14ac:dyDescent="0.35">
      <c r="A1784" t="s">
        <v>5890</v>
      </c>
    </row>
    <row r="1785" spans="1:1" x14ac:dyDescent="0.35">
      <c r="A1785" t="s">
        <v>5891</v>
      </c>
    </row>
    <row r="1786" spans="1:1" x14ac:dyDescent="0.35">
      <c r="A1786" t="s">
        <v>5892</v>
      </c>
    </row>
    <row r="1787" spans="1:1" x14ac:dyDescent="0.35">
      <c r="A1787" t="s">
        <v>5893</v>
      </c>
    </row>
    <row r="1788" spans="1:1" x14ac:dyDescent="0.35">
      <c r="A1788" t="s">
        <v>5894</v>
      </c>
    </row>
    <row r="1789" spans="1:1" x14ac:dyDescent="0.35">
      <c r="A1789" t="s">
        <v>5895</v>
      </c>
    </row>
    <row r="1790" spans="1:1" x14ac:dyDescent="0.35">
      <c r="A1790" t="s">
        <v>5896</v>
      </c>
    </row>
    <row r="1791" spans="1:1" x14ac:dyDescent="0.35">
      <c r="A1791" t="s">
        <v>5897</v>
      </c>
    </row>
    <row r="1792" spans="1:1" x14ac:dyDescent="0.35">
      <c r="A1792" t="s">
        <v>5898</v>
      </c>
    </row>
    <row r="1793" spans="1:1" x14ac:dyDescent="0.35">
      <c r="A1793" t="s">
        <v>5899</v>
      </c>
    </row>
    <row r="1794" spans="1:1" x14ac:dyDescent="0.35">
      <c r="A1794" t="s">
        <v>5900</v>
      </c>
    </row>
    <row r="1795" spans="1:1" x14ac:dyDescent="0.35">
      <c r="A1795" t="s">
        <v>5901</v>
      </c>
    </row>
    <row r="1796" spans="1:1" x14ac:dyDescent="0.35">
      <c r="A1796" t="s">
        <v>5902</v>
      </c>
    </row>
    <row r="1797" spans="1:1" x14ac:dyDescent="0.35">
      <c r="A1797" t="s">
        <v>5903</v>
      </c>
    </row>
    <row r="1798" spans="1:1" x14ac:dyDescent="0.35">
      <c r="A1798" t="s">
        <v>5904</v>
      </c>
    </row>
    <row r="1799" spans="1:1" x14ac:dyDescent="0.35">
      <c r="A1799" t="s">
        <v>5905</v>
      </c>
    </row>
    <row r="1800" spans="1:1" x14ac:dyDescent="0.35">
      <c r="A1800" t="s">
        <v>5906</v>
      </c>
    </row>
    <row r="1801" spans="1:1" x14ac:dyDescent="0.35">
      <c r="A1801" t="s">
        <v>5907</v>
      </c>
    </row>
    <row r="1802" spans="1:1" x14ac:dyDescent="0.35">
      <c r="A1802" t="s">
        <v>5908</v>
      </c>
    </row>
    <row r="1803" spans="1:1" x14ac:dyDescent="0.35">
      <c r="A1803" t="s">
        <v>5909</v>
      </c>
    </row>
    <row r="1804" spans="1:1" x14ac:dyDescent="0.35">
      <c r="A1804" t="s">
        <v>5910</v>
      </c>
    </row>
    <row r="1805" spans="1:1" x14ac:dyDescent="0.35">
      <c r="A1805" t="s">
        <v>5911</v>
      </c>
    </row>
    <row r="1806" spans="1:1" x14ac:dyDescent="0.35">
      <c r="A1806" t="s">
        <v>5912</v>
      </c>
    </row>
    <row r="1807" spans="1:1" x14ac:dyDescent="0.35">
      <c r="A1807" t="s">
        <v>5913</v>
      </c>
    </row>
    <row r="1808" spans="1:1" x14ac:dyDescent="0.35">
      <c r="A1808" t="s">
        <v>5914</v>
      </c>
    </row>
    <row r="1809" spans="1:1" x14ac:dyDescent="0.35">
      <c r="A1809" t="s">
        <v>5915</v>
      </c>
    </row>
    <row r="1810" spans="1:1" x14ac:dyDescent="0.35">
      <c r="A1810" t="s">
        <v>5916</v>
      </c>
    </row>
    <row r="1811" spans="1:1" x14ac:dyDescent="0.35">
      <c r="A1811" t="s">
        <v>5917</v>
      </c>
    </row>
    <row r="1812" spans="1:1" x14ac:dyDescent="0.35">
      <c r="A1812" t="s">
        <v>5918</v>
      </c>
    </row>
    <row r="1813" spans="1:1" x14ac:dyDescent="0.35">
      <c r="A1813" t="s">
        <v>5919</v>
      </c>
    </row>
    <row r="1814" spans="1:1" x14ac:dyDescent="0.35">
      <c r="A1814" t="s">
        <v>5920</v>
      </c>
    </row>
    <row r="1815" spans="1:1" x14ac:dyDescent="0.35">
      <c r="A1815" t="s">
        <v>5921</v>
      </c>
    </row>
    <row r="1816" spans="1:1" x14ac:dyDescent="0.35">
      <c r="A1816" t="s">
        <v>5922</v>
      </c>
    </row>
    <row r="1817" spans="1:1" x14ac:dyDescent="0.35">
      <c r="A1817" t="s">
        <v>5923</v>
      </c>
    </row>
    <row r="1818" spans="1:1" x14ac:dyDescent="0.35">
      <c r="A1818" t="s">
        <v>5924</v>
      </c>
    </row>
    <row r="1819" spans="1:1" x14ac:dyDescent="0.35">
      <c r="A1819" t="s">
        <v>5925</v>
      </c>
    </row>
    <row r="1820" spans="1:1" x14ac:dyDescent="0.35">
      <c r="A1820" t="s">
        <v>5926</v>
      </c>
    </row>
    <row r="1821" spans="1:1" x14ac:dyDescent="0.35">
      <c r="A1821" t="s">
        <v>5927</v>
      </c>
    </row>
    <row r="1822" spans="1:1" x14ac:dyDescent="0.35">
      <c r="A1822" t="s">
        <v>5928</v>
      </c>
    </row>
    <row r="1823" spans="1:1" x14ac:dyDescent="0.35">
      <c r="A1823" t="s">
        <v>5929</v>
      </c>
    </row>
    <row r="1824" spans="1:1" x14ac:dyDescent="0.35">
      <c r="A1824" t="s">
        <v>5930</v>
      </c>
    </row>
    <row r="1825" spans="1:1" x14ac:dyDescent="0.35">
      <c r="A1825" t="s">
        <v>5931</v>
      </c>
    </row>
    <row r="1826" spans="1:1" x14ac:dyDescent="0.35">
      <c r="A1826" t="s">
        <v>5932</v>
      </c>
    </row>
    <row r="1827" spans="1:1" x14ac:dyDescent="0.35">
      <c r="A1827" t="s">
        <v>5933</v>
      </c>
    </row>
    <row r="1828" spans="1:1" x14ac:dyDescent="0.35">
      <c r="A1828" t="s">
        <v>5934</v>
      </c>
    </row>
    <row r="1829" spans="1:1" x14ac:dyDescent="0.35">
      <c r="A1829" t="s">
        <v>5935</v>
      </c>
    </row>
    <row r="1830" spans="1:1" x14ac:dyDescent="0.35">
      <c r="A1830" t="s">
        <v>5936</v>
      </c>
    </row>
    <row r="1831" spans="1:1" x14ac:dyDescent="0.35">
      <c r="A1831" t="s">
        <v>5937</v>
      </c>
    </row>
    <row r="1832" spans="1:1" x14ac:dyDescent="0.35">
      <c r="A1832" t="s">
        <v>5938</v>
      </c>
    </row>
    <row r="1833" spans="1:1" x14ac:dyDescent="0.35">
      <c r="A1833" t="s">
        <v>5939</v>
      </c>
    </row>
    <row r="1834" spans="1:1" x14ac:dyDescent="0.35">
      <c r="A1834" t="s">
        <v>5940</v>
      </c>
    </row>
    <row r="1835" spans="1:1" x14ac:dyDescent="0.35">
      <c r="A1835" t="s">
        <v>5941</v>
      </c>
    </row>
    <row r="1836" spans="1:1" x14ac:dyDescent="0.35">
      <c r="A1836" t="s">
        <v>5942</v>
      </c>
    </row>
    <row r="1837" spans="1:1" x14ac:dyDescent="0.35">
      <c r="A1837" t="s">
        <v>5943</v>
      </c>
    </row>
    <row r="1838" spans="1:1" x14ac:dyDescent="0.35">
      <c r="A1838" t="s">
        <v>5944</v>
      </c>
    </row>
    <row r="1839" spans="1:1" x14ac:dyDescent="0.35">
      <c r="A1839" t="s">
        <v>5945</v>
      </c>
    </row>
    <row r="1840" spans="1:1" x14ac:dyDescent="0.35">
      <c r="A1840" t="s">
        <v>5946</v>
      </c>
    </row>
    <row r="1841" spans="1:1" x14ac:dyDescent="0.35">
      <c r="A1841" t="s">
        <v>5947</v>
      </c>
    </row>
    <row r="1842" spans="1:1" x14ac:dyDescent="0.35">
      <c r="A1842" t="s">
        <v>5948</v>
      </c>
    </row>
    <row r="1843" spans="1:1" x14ac:dyDescent="0.35">
      <c r="A1843" t="s">
        <v>5949</v>
      </c>
    </row>
    <row r="1844" spans="1:1" x14ac:dyDescent="0.35">
      <c r="A1844" t="s">
        <v>5950</v>
      </c>
    </row>
    <row r="1845" spans="1:1" x14ac:dyDescent="0.35">
      <c r="A1845" t="s">
        <v>5951</v>
      </c>
    </row>
    <row r="1846" spans="1:1" x14ac:dyDescent="0.35">
      <c r="A1846" t="s">
        <v>5952</v>
      </c>
    </row>
    <row r="1847" spans="1:1" x14ac:dyDescent="0.35">
      <c r="A1847" t="s">
        <v>5953</v>
      </c>
    </row>
    <row r="1848" spans="1:1" x14ac:dyDescent="0.35">
      <c r="A1848" t="s">
        <v>5954</v>
      </c>
    </row>
    <row r="1849" spans="1:1" x14ac:dyDescent="0.35">
      <c r="A1849" t="s">
        <v>5955</v>
      </c>
    </row>
    <row r="1850" spans="1:1" x14ac:dyDescent="0.35">
      <c r="A1850" t="s">
        <v>5956</v>
      </c>
    </row>
    <row r="1851" spans="1:1" x14ac:dyDescent="0.35">
      <c r="A1851" t="s">
        <v>5957</v>
      </c>
    </row>
    <row r="1852" spans="1:1" x14ac:dyDescent="0.35">
      <c r="A1852" t="s">
        <v>5958</v>
      </c>
    </row>
    <row r="1853" spans="1:1" x14ac:dyDescent="0.35">
      <c r="A1853" t="s">
        <v>5959</v>
      </c>
    </row>
    <row r="1854" spans="1:1" x14ac:dyDescent="0.35">
      <c r="A1854" t="s">
        <v>5960</v>
      </c>
    </row>
    <row r="1855" spans="1:1" x14ac:dyDescent="0.35">
      <c r="A1855" t="s">
        <v>5961</v>
      </c>
    </row>
    <row r="1856" spans="1:1" x14ac:dyDescent="0.35">
      <c r="A1856" t="s">
        <v>5962</v>
      </c>
    </row>
    <row r="1857" spans="1:1" x14ac:dyDescent="0.35">
      <c r="A1857" t="s">
        <v>5963</v>
      </c>
    </row>
    <row r="1858" spans="1:1" x14ac:dyDescent="0.35">
      <c r="A1858" t="s">
        <v>5964</v>
      </c>
    </row>
    <row r="1859" spans="1:1" x14ac:dyDescent="0.35">
      <c r="A1859" t="s">
        <v>5965</v>
      </c>
    </row>
    <row r="1860" spans="1:1" x14ac:dyDescent="0.35">
      <c r="A1860" t="s">
        <v>5966</v>
      </c>
    </row>
    <row r="1861" spans="1:1" x14ac:dyDescent="0.35">
      <c r="A1861" t="s">
        <v>5967</v>
      </c>
    </row>
    <row r="1862" spans="1:1" x14ac:dyDescent="0.35">
      <c r="A1862" t="s">
        <v>5968</v>
      </c>
    </row>
    <row r="1863" spans="1:1" x14ac:dyDescent="0.35">
      <c r="A1863" t="s">
        <v>5969</v>
      </c>
    </row>
    <row r="1864" spans="1:1" x14ac:dyDescent="0.35">
      <c r="A1864" t="s">
        <v>5970</v>
      </c>
    </row>
    <row r="1865" spans="1:1" x14ac:dyDescent="0.35">
      <c r="A1865" t="s">
        <v>5971</v>
      </c>
    </row>
    <row r="1866" spans="1:1" x14ac:dyDescent="0.35">
      <c r="A1866" t="s">
        <v>5972</v>
      </c>
    </row>
    <row r="1867" spans="1:1" x14ac:dyDescent="0.35">
      <c r="A1867" t="s">
        <v>5973</v>
      </c>
    </row>
    <row r="1868" spans="1:1" x14ac:dyDescent="0.35">
      <c r="A1868" t="s">
        <v>5974</v>
      </c>
    </row>
    <row r="1869" spans="1:1" x14ac:dyDescent="0.35">
      <c r="A1869" t="s">
        <v>5975</v>
      </c>
    </row>
    <row r="1870" spans="1:1" x14ac:dyDescent="0.35">
      <c r="A1870" t="s">
        <v>5976</v>
      </c>
    </row>
    <row r="1871" spans="1:1" x14ac:dyDescent="0.35">
      <c r="A1871" t="s">
        <v>5977</v>
      </c>
    </row>
    <row r="1872" spans="1:1" x14ac:dyDescent="0.35">
      <c r="A1872" t="s">
        <v>5978</v>
      </c>
    </row>
    <row r="1873" spans="1:1" x14ac:dyDescent="0.35">
      <c r="A1873" t="s">
        <v>5979</v>
      </c>
    </row>
    <row r="1874" spans="1:1" x14ac:dyDescent="0.35">
      <c r="A1874" t="s">
        <v>5980</v>
      </c>
    </row>
    <row r="1875" spans="1:1" x14ac:dyDescent="0.35">
      <c r="A1875" t="s">
        <v>5981</v>
      </c>
    </row>
    <row r="1876" spans="1:1" x14ac:dyDescent="0.35">
      <c r="A1876" t="s">
        <v>5982</v>
      </c>
    </row>
    <row r="1877" spans="1:1" x14ac:dyDescent="0.35">
      <c r="A1877" t="s">
        <v>5983</v>
      </c>
    </row>
    <row r="1878" spans="1:1" x14ac:dyDescent="0.35">
      <c r="A1878" t="s">
        <v>5984</v>
      </c>
    </row>
    <row r="1879" spans="1:1" x14ac:dyDescent="0.35">
      <c r="A1879" t="s">
        <v>5985</v>
      </c>
    </row>
    <row r="1880" spans="1:1" x14ac:dyDescent="0.35">
      <c r="A1880" t="s">
        <v>5986</v>
      </c>
    </row>
    <row r="1881" spans="1:1" x14ac:dyDescent="0.35">
      <c r="A1881" t="s">
        <v>5987</v>
      </c>
    </row>
    <row r="1882" spans="1:1" x14ac:dyDescent="0.35">
      <c r="A1882" t="s">
        <v>5988</v>
      </c>
    </row>
    <row r="1883" spans="1:1" x14ac:dyDescent="0.35">
      <c r="A1883" t="s">
        <v>5989</v>
      </c>
    </row>
    <row r="1884" spans="1:1" x14ac:dyDescent="0.35">
      <c r="A1884" t="s">
        <v>5990</v>
      </c>
    </row>
    <row r="1885" spans="1:1" x14ac:dyDescent="0.35">
      <c r="A1885" t="s">
        <v>5991</v>
      </c>
    </row>
    <row r="1886" spans="1:1" x14ac:dyDescent="0.35">
      <c r="A1886" t="s">
        <v>5992</v>
      </c>
    </row>
    <row r="1887" spans="1:1" x14ac:dyDescent="0.35">
      <c r="A1887" t="s">
        <v>5993</v>
      </c>
    </row>
    <row r="1888" spans="1:1" x14ac:dyDescent="0.35">
      <c r="A1888" t="s">
        <v>5994</v>
      </c>
    </row>
    <row r="1889" spans="1:1" x14ac:dyDescent="0.35">
      <c r="A1889" t="s">
        <v>5995</v>
      </c>
    </row>
    <row r="1890" spans="1:1" x14ac:dyDescent="0.35">
      <c r="A1890" t="s">
        <v>5996</v>
      </c>
    </row>
    <row r="1891" spans="1:1" x14ac:dyDescent="0.35">
      <c r="A1891" t="s">
        <v>5997</v>
      </c>
    </row>
    <row r="1892" spans="1:1" x14ac:dyDescent="0.35">
      <c r="A1892" t="s">
        <v>5998</v>
      </c>
    </row>
    <row r="1893" spans="1:1" x14ac:dyDescent="0.35">
      <c r="A1893" t="s">
        <v>5999</v>
      </c>
    </row>
    <row r="1894" spans="1:1" x14ac:dyDescent="0.35">
      <c r="A1894" t="s">
        <v>6000</v>
      </c>
    </row>
    <row r="1895" spans="1:1" x14ac:dyDescent="0.35">
      <c r="A1895" t="s">
        <v>6001</v>
      </c>
    </row>
    <row r="1896" spans="1:1" x14ac:dyDescent="0.35">
      <c r="A1896" t="s">
        <v>6002</v>
      </c>
    </row>
    <row r="1897" spans="1:1" x14ac:dyDescent="0.35">
      <c r="A1897" t="s">
        <v>6003</v>
      </c>
    </row>
    <row r="1898" spans="1:1" x14ac:dyDescent="0.35">
      <c r="A1898" t="s">
        <v>6004</v>
      </c>
    </row>
    <row r="1899" spans="1:1" x14ac:dyDescent="0.35">
      <c r="A1899" t="s">
        <v>6005</v>
      </c>
    </row>
    <row r="1900" spans="1:1" x14ac:dyDescent="0.35">
      <c r="A1900" t="s">
        <v>6006</v>
      </c>
    </row>
    <row r="1901" spans="1:1" x14ac:dyDescent="0.35">
      <c r="A1901" t="s">
        <v>6007</v>
      </c>
    </row>
    <row r="1902" spans="1:1" x14ac:dyDescent="0.35">
      <c r="A1902" t="s">
        <v>6008</v>
      </c>
    </row>
    <row r="1903" spans="1:1" x14ac:dyDescent="0.35">
      <c r="A1903" t="s">
        <v>6009</v>
      </c>
    </row>
    <row r="1904" spans="1:1" x14ac:dyDescent="0.35">
      <c r="A1904" t="s">
        <v>6010</v>
      </c>
    </row>
    <row r="1905" spans="1:1" x14ac:dyDescent="0.35">
      <c r="A1905" t="s">
        <v>6011</v>
      </c>
    </row>
    <row r="1906" spans="1:1" x14ac:dyDescent="0.35">
      <c r="A1906" t="s">
        <v>6012</v>
      </c>
    </row>
    <row r="1907" spans="1:1" x14ac:dyDescent="0.35">
      <c r="A1907" t="s">
        <v>6013</v>
      </c>
    </row>
    <row r="1908" spans="1:1" x14ac:dyDescent="0.35">
      <c r="A1908" t="s">
        <v>6014</v>
      </c>
    </row>
    <row r="1909" spans="1:1" x14ac:dyDescent="0.35">
      <c r="A1909" t="s">
        <v>6015</v>
      </c>
    </row>
    <row r="1910" spans="1:1" x14ac:dyDescent="0.35">
      <c r="A1910" t="s">
        <v>6016</v>
      </c>
    </row>
    <row r="1911" spans="1:1" x14ac:dyDescent="0.35">
      <c r="A1911" t="s">
        <v>6017</v>
      </c>
    </row>
    <row r="1912" spans="1:1" x14ac:dyDescent="0.35">
      <c r="A1912" t="s">
        <v>6018</v>
      </c>
    </row>
    <row r="1913" spans="1:1" x14ac:dyDescent="0.35">
      <c r="A1913" t="s">
        <v>6019</v>
      </c>
    </row>
    <row r="1914" spans="1:1" x14ac:dyDescent="0.35">
      <c r="A1914" t="s">
        <v>6020</v>
      </c>
    </row>
    <row r="1915" spans="1:1" x14ac:dyDescent="0.35">
      <c r="A1915" t="s">
        <v>6021</v>
      </c>
    </row>
    <row r="1916" spans="1:1" x14ac:dyDescent="0.35">
      <c r="A1916" t="s">
        <v>6022</v>
      </c>
    </row>
    <row r="1917" spans="1:1" x14ac:dyDescent="0.35">
      <c r="A1917" t="s">
        <v>6023</v>
      </c>
    </row>
    <row r="1918" spans="1:1" x14ac:dyDescent="0.35">
      <c r="A1918" t="s">
        <v>6024</v>
      </c>
    </row>
    <row r="1919" spans="1:1" x14ac:dyDescent="0.35">
      <c r="A1919" t="s">
        <v>6025</v>
      </c>
    </row>
    <row r="1920" spans="1:1" x14ac:dyDescent="0.35">
      <c r="A1920" t="s">
        <v>6026</v>
      </c>
    </row>
    <row r="1921" spans="1:1" x14ac:dyDescent="0.35">
      <c r="A1921" t="s">
        <v>6027</v>
      </c>
    </row>
    <row r="1922" spans="1:1" x14ac:dyDescent="0.35">
      <c r="A1922" t="s">
        <v>6028</v>
      </c>
    </row>
    <row r="1923" spans="1:1" x14ac:dyDescent="0.35">
      <c r="A1923" t="s">
        <v>6029</v>
      </c>
    </row>
    <row r="1924" spans="1:1" x14ac:dyDescent="0.35">
      <c r="A1924" t="s">
        <v>6030</v>
      </c>
    </row>
    <row r="1925" spans="1:1" x14ac:dyDescent="0.35">
      <c r="A1925" t="s">
        <v>6031</v>
      </c>
    </row>
    <row r="1926" spans="1:1" x14ac:dyDescent="0.35">
      <c r="A1926" t="s">
        <v>6032</v>
      </c>
    </row>
    <row r="1927" spans="1:1" x14ac:dyDescent="0.35">
      <c r="A1927" t="s">
        <v>6033</v>
      </c>
    </row>
    <row r="1928" spans="1:1" x14ac:dyDescent="0.35">
      <c r="A1928" t="s">
        <v>6034</v>
      </c>
    </row>
    <row r="1929" spans="1:1" x14ac:dyDescent="0.35">
      <c r="A1929" t="s">
        <v>6035</v>
      </c>
    </row>
    <row r="1930" spans="1:1" x14ac:dyDescent="0.35">
      <c r="A1930" t="s">
        <v>6036</v>
      </c>
    </row>
    <row r="1931" spans="1:1" x14ac:dyDescent="0.35">
      <c r="A1931" t="s">
        <v>6037</v>
      </c>
    </row>
    <row r="1932" spans="1:1" x14ac:dyDescent="0.35">
      <c r="A1932" t="s">
        <v>6038</v>
      </c>
    </row>
    <row r="1933" spans="1:1" x14ac:dyDescent="0.35">
      <c r="A1933" t="s">
        <v>6039</v>
      </c>
    </row>
    <row r="1934" spans="1:1" x14ac:dyDescent="0.35">
      <c r="A1934" t="s">
        <v>6040</v>
      </c>
    </row>
    <row r="1935" spans="1:1" x14ac:dyDescent="0.35">
      <c r="A1935" t="s">
        <v>6041</v>
      </c>
    </row>
    <row r="1936" spans="1:1" x14ac:dyDescent="0.35">
      <c r="A1936" t="s">
        <v>6042</v>
      </c>
    </row>
    <row r="1937" spans="1:1" x14ac:dyDescent="0.35">
      <c r="A1937" t="s">
        <v>6043</v>
      </c>
    </row>
    <row r="1938" spans="1:1" x14ac:dyDescent="0.35">
      <c r="A1938" t="s">
        <v>6044</v>
      </c>
    </row>
    <row r="1939" spans="1:1" x14ac:dyDescent="0.35">
      <c r="A1939" t="s">
        <v>6045</v>
      </c>
    </row>
    <row r="1940" spans="1:1" x14ac:dyDescent="0.35">
      <c r="A1940" t="s">
        <v>6046</v>
      </c>
    </row>
    <row r="1941" spans="1:1" x14ac:dyDescent="0.35">
      <c r="A1941" t="s">
        <v>6047</v>
      </c>
    </row>
    <row r="1942" spans="1:1" x14ac:dyDescent="0.35">
      <c r="A1942" t="s">
        <v>6048</v>
      </c>
    </row>
    <row r="1943" spans="1:1" x14ac:dyDescent="0.35">
      <c r="A1943" t="s">
        <v>6049</v>
      </c>
    </row>
    <row r="1944" spans="1:1" x14ac:dyDescent="0.35">
      <c r="A1944" t="s">
        <v>6050</v>
      </c>
    </row>
    <row r="1945" spans="1:1" x14ac:dyDescent="0.35">
      <c r="A1945" t="s">
        <v>6051</v>
      </c>
    </row>
    <row r="1946" spans="1:1" x14ac:dyDescent="0.35">
      <c r="A1946" t="s">
        <v>6052</v>
      </c>
    </row>
    <row r="1947" spans="1:1" x14ac:dyDescent="0.35">
      <c r="A1947" t="s">
        <v>6053</v>
      </c>
    </row>
    <row r="1948" spans="1:1" x14ac:dyDescent="0.35">
      <c r="A1948" t="s">
        <v>6054</v>
      </c>
    </row>
    <row r="1949" spans="1:1" x14ac:dyDescent="0.35">
      <c r="A1949" t="s">
        <v>6055</v>
      </c>
    </row>
    <row r="1950" spans="1:1" x14ac:dyDescent="0.35">
      <c r="A1950" t="s">
        <v>6056</v>
      </c>
    </row>
    <row r="1951" spans="1:1" x14ac:dyDescent="0.35">
      <c r="A1951" t="s">
        <v>6057</v>
      </c>
    </row>
    <row r="1952" spans="1:1" x14ac:dyDescent="0.35">
      <c r="A1952" t="s">
        <v>6058</v>
      </c>
    </row>
    <row r="1953" spans="1:1" x14ac:dyDescent="0.35">
      <c r="A1953" t="s">
        <v>6059</v>
      </c>
    </row>
    <row r="1954" spans="1:1" x14ac:dyDescent="0.35">
      <c r="A1954" t="s">
        <v>6060</v>
      </c>
    </row>
    <row r="1955" spans="1:1" x14ac:dyDescent="0.35">
      <c r="A1955" t="s">
        <v>6061</v>
      </c>
    </row>
    <row r="1956" spans="1:1" x14ac:dyDescent="0.35">
      <c r="A1956" t="s">
        <v>6062</v>
      </c>
    </row>
    <row r="1957" spans="1:1" x14ac:dyDescent="0.35">
      <c r="A1957" t="s">
        <v>6063</v>
      </c>
    </row>
    <row r="1958" spans="1:1" x14ac:dyDescent="0.35">
      <c r="A1958" t="s">
        <v>6064</v>
      </c>
    </row>
    <row r="1959" spans="1:1" x14ac:dyDescent="0.35">
      <c r="A1959" t="s">
        <v>6065</v>
      </c>
    </row>
    <row r="1960" spans="1:1" x14ac:dyDescent="0.35">
      <c r="A1960" t="s">
        <v>6066</v>
      </c>
    </row>
    <row r="1961" spans="1:1" x14ac:dyDescent="0.35">
      <c r="A1961" t="s">
        <v>6067</v>
      </c>
    </row>
    <row r="1962" spans="1:1" x14ac:dyDescent="0.35">
      <c r="A1962" t="s">
        <v>6068</v>
      </c>
    </row>
    <row r="1963" spans="1:1" x14ac:dyDescent="0.35">
      <c r="A1963" t="s">
        <v>6069</v>
      </c>
    </row>
    <row r="1964" spans="1:1" x14ac:dyDescent="0.35">
      <c r="A1964" t="s">
        <v>6070</v>
      </c>
    </row>
    <row r="1965" spans="1:1" x14ac:dyDescent="0.35">
      <c r="A1965" t="s">
        <v>6071</v>
      </c>
    </row>
    <row r="1966" spans="1:1" x14ac:dyDescent="0.35">
      <c r="A1966" t="s">
        <v>6072</v>
      </c>
    </row>
    <row r="1967" spans="1:1" x14ac:dyDescent="0.35">
      <c r="A1967" t="s">
        <v>6073</v>
      </c>
    </row>
    <row r="1968" spans="1:1" x14ac:dyDescent="0.35">
      <c r="A1968" t="s">
        <v>6074</v>
      </c>
    </row>
    <row r="1969" spans="1:1" x14ac:dyDescent="0.35">
      <c r="A1969" t="s">
        <v>6075</v>
      </c>
    </row>
    <row r="1970" spans="1:1" x14ac:dyDescent="0.35">
      <c r="A1970" t="s">
        <v>6076</v>
      </c>
    </row>
    <row r="1971" spans="1:1" x14ac:dyDescent="0.35">
      <c r="A1971" t="s">
        <v>6077</v>
      </c>
    </row>
    <row r="1972" spans="1:1" x14ac:dyDescent="0.35">
      <c r="A1972" t="s">
        <v>6078</v>
      </c>
    </row>
    <row r="1973" spans="1:1" x14ac:dyDescent="0.35">
      <c r="A1973" t="s">
        <v>6079</v>
      </c>
    </row>
    <row r="1974" spans="1:1" x14ac:dyDescent="0.35">
      <c r="A1974" t="s">
        <v>6080</v>
      </c>
    </row>
    <row r="1975" spans="1:1" x14ac:dyDescent="0.35">
      <c r="A1975" t="s">
        <v>6081</v>
      </c>
    </row>
    <row r="1976" spans="1:1" x14ac:dyDescent="0.35">
      <c r="A1976" t="s">
        <v>6082</v>
      </c>
    </row>
    <row r="1977" spans="1:1" x14ac:dyDescent="0.35">
      <c r="A1977" t="s">
        <v>6083</v>
      </c>
    </row>
    <row r="1978" spans="1:1" x14ac:dyDescent="0.35">
      <c r="A1978" t="s">
        <v>6084</v>
      </c>
    </row>
    <row r="1979" spans="1:1" x14ac:dyDescent="0.35">
      <c r="A1979" t="s">
        <v>6085</v>
      </c>
    </row>
    <row r="1980" spans="1:1" x14ac:dyDescent="0.35">
      <c r="A1980" t="s">
        <v>6086</v>
      </c>
    </row>
    <row r="1981" spans="1:1" x14ac:dyDescent="0.35">
      <c r="A1981" t="s">
        <v>6087</v>
      </c>
    </row>
    <row r="1982" spans="1:1" x14ac:dyDescent="0.35">
      <c r="A1982" t="s">
        <v>6088</v>
      </c>
    </row>
    <row r="1983" spans="1:1" x14ac:dyDescent="0.35">
      <c r="A1983" t="s">
        <v>6089</v>
      </c>
    </row>
    <row r="1984" spans="1:1" x14ac:dyDescent="0.35">
      <c r="A1984" t="s">
        <v>6090</v>
      </c>
    </row>
    <row r="1985" spans="1:1" x14ac:dyDescent="0.35">
      <c r="A1985" t="s">
        <v>6091</v>
      </c>
    </row>
    <row r="1986" spans="1:1" x14ac:dyDescent="0.35">
      <c r="A1986" t="s">
        <v>6092</v>
      </c>
    </row>
    <row r="1987" spans="1:1" x14ac:dyDescent="0.35">
      <c r="A1987" t="s">
        <v>6093</v>
      </c>
    </row>
    <row r="1988" spans="1:1" x14ac:dyDescent="0.35">
      <c r="A1988" t="s">
        <v>6094</v>
      </c>
    </row>
    <row r="1989" spans="1:1" x14ac:dyDescent="0.35">
      <c r="A1989" t="s">
        <v>6095</v>
      </c>
    </row>
    <row r="1990" spans="1:1" x14ac:dyDescent="0.35">
      <c r="A1990" t="s">
        <v>6096</v>
      </c>
    </row>
    <row r="1991" spans="1:1" x14ac:dyDescent="0.35">
      <c r="A1991" t="s">
        <v>6097</v>
      </c>
    </row>
    <row r="1992" spans="1:1" x14ac:dyDescent="0.35">
      <c r="A1992" t="s">
        <v>6098</v>
      </c>
    </row>
    <row r="1993" spans="1:1" x14ac:dyDescent="0.35">
      <c r="A1993" t="s">
        <v>6099</v>
      </c>
    </row>
    <row r="1994" spans="1:1" x14ac:dyDescent="0.35">
      <c r="A1994" t="s">
        <v>6100</v>
      </c>
    </row>
    <row r="1995" spans="1:1" x14ac:dyDescent="0.35">
      <c r="A1995" t="s">
        <v>6101</v>
      </c>
    </row>
    <row r="1996" spans="1:1" x14ac:dyDescent="0.35">
      <c r="A1996" t="s">
        <v>6102</v>
      </c>
    </row>
    <row r="1997" spans="1:1" x14ac:dyDescent="0.35">
      <c r="A1997" t="s">
        <v>6103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00"/>
  <sheetViews>
    <sheetView workbookViewId="0">
      <pane ySplit="3" topLeftCell="A4" activePane="bottomLeft" state="frozen"/>
      <selection pane="bottomLeft"/>
    </sheetView>
  </sheetViews>
  <sheetFormatPr defaultColWidth="11.54296875" defaultRowHeight="14.5" x14ac:dyDescent="0.35"/>
  <cols>
    <col min="1" max="1" width="14.453125" customWidth="1"/>
    <col min="2" max="2" width="68.453125" style="8" customWidth="1"/>
    <col min="3" max="3" width="14.453125" bestFit="1" customWidth="1"/>
    <col min="4" max="4" width="74.7265625" style="8" customWidth="1"/>
  </cols>
  <sheetData>
    <row r="1" spans="1:4" s="6" customFormat="1" x14ac:dyDescent="0.35">
      <c r="A1" s="5" t="s">
        <v>6104</v>
      </c>
      <c r="B1" s="7"/>
      <c r="D1" s="7"/>
    </row>
    <row r="3" spans="1:4" ht="15.5" x14ac:dyDescent="0.35">
      <c r="A3" s="10" t="s">
        <v>246</v>
      </c>
      <c r="B3" s="11" t="s">
        <v>247</v>
      </c>
      <c r="C3" s="10" t="s">
        <v>6105</v>
      </c>
      <c r="D3" s="11" t="s">
        <v>6106</v>
      </c>
    </row>
    <row r="4" spans="1:4" x14ac:dyDescent="0.35">
      <c r="A4" t="s">
        <v>248</v>
      </c>
      <c r="B4" s="8" t="s">
        <v>249</v>
      </c>
      <c r="C4" t="s">
        <v>6107</v>
      </c>
      <c r="D4" s="8" t="s">
        <v>6108</v>
      </c>
    </row>
    <row r="5" spans="1:4" x14ac:dyDescent="0.35">
      <c r="A5" t="s">
        <v>248</v>
      </c>
      <c r="B5" s="8" t="s">
        <v>249</v>
      </c>
      <c r="C5" t="s">
        <v>6109</v>
      </c>
      <c r="D5" s="8" t="s">
        <v>6110</v>
      </c>
    </row>
    <row r="6" spans="1:4" x14ac:dyDescent="0.35">
      <c r="A6" t="s">
        <v>248</v>
      </c>
      <c r="B6" s="8" t="s">
        <v>249</v>
      </c>
      <c r="C6" t="s">
        <v>6111</v>
      </c>
      <c r="D6" s="8" t="s">
        <v>6112</v>
      </c>
    </row>
    <row r="7" spans="1:4" x14ac:dyDescent="0.35">
      <c r="A7" t="s">
        <v>248</v>
      </c>
      <c r="B7" s="8" t="s">
        <v>249</v>
      </c>
      <c r="C7" t="s">
        <v>6113</v>
      </c>
      <c r="D7" s="8" t="s">
        <v>6114</v>
      </c>
    </row>
    <row r="8" spans="1:4" x14ac:dyDescent="0.35">
      <c r="A8" t="s">
        <v>248</v>
      </c>
      <c r="B8" s="8" t="s">
        <v>249</v>
      </c>
      <c r="C8" t="s">
        <v>6115</v>
      </c>
      <c r="D8" s="8" t="s">
        <v>6116</v>
      </c>
    </row>
    <row r="9" spans="1:4" x14ac:dyDescent="0.35">
      <c r="A9" t="s">
        <v>252</v>
      </c>
      <c r="B9" s="8" t="s">
        <v>253</v>
      </c>
      <c r="C9" t="s">
        <v>6117</v>
      </c>
      <c r="D9" s="8" t="s">
        <v>6118</v>
      </c>
    </row>
    <row r="10" spans="1:4" x14ac:dyDescent="0.35">
      <c r="A10" t="s">
        <v>252</v>
      </c>
      <c r="B10" s="8" t="s">
        <v>253</v>
      </c>
      <c r="C10" t="s">
        <v>6115</v>
      </c>
      <c r="D10" s="8" t="s">
        <v>6116</v>
      </c>
    </row>
    <row r="11" spans="1:4" x14ac:dyDescent="0.35">
      <c r="A11" t="s">
        <v>252</v>
      </c>
      <c r="B11" s="8" t="s">
        <v>253</v>
      </c>
      <c r="C11" t="s">
        <v>6119</v>
      </c>
      <c r="D11" s="8" t="s">
        <v>6120</v>
      </c>
    </row>
    <row r="12" spans="1:4" x14ac:dyDescent="0.35">
      <c r="A12" t="s">
        <v>254</v>
      </c>
      <c r="B12" s="8" t="s">
        <v>255</v>
      </c>
      <c r="C12" t="s">
        <v>6117</v>
      </c>
      <c r="D12" s="8" t="s">
        <v>6118</v>
      </c>
    </row>
    <row r="13" spans="1:4" x14ac:dyDescent="0.35">
      <c r="A13" t="s">
        <v>254</v>
      </c>
      <c r="B13" s="8" t="s">
        <v>255</v>
      </c>
      <c r="C13" t="s">
        <v>6115</v>
      </c>
      <c r="D13" s="8" t="s">
        <v>6116</v>
      </c>
    </row>
    <row r="14" spans="1:4" x14ac:dyDescent="0.35">
      <c r="A14" t="s">
        <v>256</v>
      </c>
      <c r="B14" s="8" t="s">
        <v>257</v>
      </c>
      <c r="C14" t="s">
        <v>6121</v>
      </c>
      <c r="D14" s="8" t="s">
        <v>6122</v>
      </c>
    </row>
    <row r="15" spans="1:4" x14ac:dyDescent="0.35">
      <c r="A15" t="s">
        <v>256</v>
      </c>
      <c r="B15" s="8" t="s">
        <v>257</v>
      </c>
      <c r="C15" t="s">
        <v>6115</v>
      </c>
      <c r="D15" s="8" t="s">
        <v>6116</v>
      </c>
    </row>
    <row r="16" spans="1:4" x14ac:dyDescent="0.35">
      <c r="A16" t="s">
        <v>256</v>
      </c>
      <c r="B16" s="8" t="s">
        <v>257</v>
      </c>
      <c r="C16" t="s">
        <v>6123</v>
      </c>
      <c r="D16" s="8" t="s">
        <v>6124</v>
      </c>
    </row>
    <row r="17" spans="1:4" x14ac:dyDescent="0.35">
      <c r="A17" t="s">
        <v>258</v>
      </c>
      <c r="B17" s="8" t="s">
        <v>259</v>
      </c>
      <c r="C17" t="s">
        <v>6117</v>
      </c>
      <c r="D17" s="8" t="s">
        <v>6118</v>
      </c>
    </row>
    <row r="18" spans="1:4" x14ac:dyDescent="0.35">
      <c r="A18" t="s">
        <v>258</v>
      </c>
      <c r="B18" s="8" t="s">
        <v>259</v>
      </c>
      <c r="C18" t="s">
        <v>6115</v>
      </c>
      <c r="D18" s="8" t="s">
        <v>6116</v>
      </c>
    </row>
    <row r="19" spans="1:4" x14ac:dyDescent="0.35">
      <c r="A19" t="s">
        <v>258</v>
      </c>
      <c r="B19" s="8" t="s">
        <v>259</v>
      </c>
      <c r="C19" t="s">
        <v>6125</v>
      </c>
      <c r="D19" s="8" t="s">
        <v>6126</v>
      </c>
    </row>
    <row r="20" spans="1:4" x14ac:dyDescent="0.35">
      <c r="A20" t="s">
        <v>258</v>
      </c>
      <c r="B20" s="8" t="s">
        <v>259</v>
      </c>
      <c r="C20" t="s">
        <v>6119</v>
      </c>
      <c r="D20" s="8" t="s">
        <v>6120</v>
      </c>
    </row>
    <row r="21" spans="1:4" x14ac:dyDescent="0.35">
      <c r="A21" t="s">
        <v>260</v>
      </c>
      <c r="B21" s="8" t="s">
        <v>261</v>
      </c>
      <c r="C21" t="s">
        <v>6127</v>
      </c>
      <c r="D21" s="8" t="s">
        <v>6128</v>
      </c>
    </row>
    <row r="22" spans="1:4" x14ac:dyDescent="0.35">
      <c r="A22" t="s">
        <v>260</v>
      </c>
      <c r="B22" s="8" t="s">
        <v>261</v>
      </c>
      <c r="C22" t="s">
        <v>6115</v>
      </c>
      <c r="D22" s="8" t="s">
        <v>6116</v>
      </c>
    </row>
    <row r="23" spans="1:4" ht="29" x14ac:dyDescent="0.35">
      <c r="A23" t="s">
        <v>260</v>
      </c>
      <c r="B23" s="8" t="s">
        <v>261</v>
      </c>
      <c r="C23" t="s">
        <v>6129</v>
      </c>
      <c r="D23" s="8" t="s">
        <v>6130</v>
      </c>
    </row>
    <row r="24" spans="1:4" x14ac:dyDescent="0.35">
      <c r="A24" t="s">
        <v>262</v>
      </c>
      <c r="B24" s="8" t="s">
        <v>265</v>
      </c>
      <c r="C24" t="s">
        <v>6131</v>
      </c>
      <c r="D24" s="8" t="s">
        <v>6132</v>
      </c>
    </row>
    <row r="25" spans="1:4" x14ac:dyDescent="0.35">
      <c r="A25" t="s">
        <v>262</v>
      </c>
      <c r="B25" s="8" t="s">
        <v>265</v>
      </c>
      <c r="C25" t="s">
        <v>6133</v>
      </c>
      <c r="D25" s="8" t="s">
        <v>6134</v>
      </c>
    </row>
    <row r="26" spans="1:4" x14ac:dyDescent="0.35">
      <c r="A26" t="s">
        <v>266</v>
      </c>
      <c r="B26" s="8" t="s">
        <v>267</v>
      </c>
      <c r="C26" t="s">
        <v>6117</v>
      </c>
      <c r="D26" s="8" t="s">
        <v>6118</v>
      </c>
    </row>
    <row r="27" spans="1:4" x14ac:dyDescent="0.35">
      <c r="A27" t="s">
        <v>266</v>
      </c>
      <c r="B27" s="8" t="s">
        <v>267</v>
      </c>
      <c r="C27" t="s">
        <v>6115</v>
      </c>
      <c r="D27" s="8" t="s">
        <v>6116</v>
      </c>
    </row>
    <row r="28" spans="1:4" x14ac:dyDescent="0.35">
      <c r="A28" t="s">
        <v>266</v>
      </c>
      <c r="B28" s="8" t="s">
        <v>267</v>
      </c>
      <c r="C28" t="s">
        <v>6119</v>
      </c>
      <c r="D28" s="8" t="s">
        <v>6120</v>
      </c>
    </row>
    <row r="29" spans="1:4" x14ac:dyDescent="0.35">
      <c r="A29" t="s">
        <v>268</v>
      </c>
      <c r="B29" s="8" t="s">
        <v>269</v>
      </c>
      <c r="C29" t="s">
        <v>6115</v>
      </c>
      <c r="D29" s="8" t="s">
        <v>6116</v>
      </c>
    </row>
    <row r="30" spans="1:4" x14ac:dyDescent="0.35">
      <c r="A30" t="s">
        <v>268</v>
      </c>
      <c r="B30" s="8" t="s">
        <v>269</v>
      </c>
      <c r="C30" t="s">
        <v>6135</v>
      </c>
      <c r="D30" s="8" t="s">
        <v>6136</v>
      </c>
    </row>
    <row r="31" spans="1:4" x14ac:dyDescent="0.35">
      <c r="A31" t="s">
        <v>270</v>
      </c>
      <c r="B31" s="8" t="s">
        <v>271</v>
      </c>
      <c r="C31" t="s">
        <v>6115</v>
      </c>
      <c r="D31" s="8" t="s">
        <v>6116</v>
      </c>
    </row>
    <row r="32" spans="1:4" x14ac:dyDescent="0.35">
      <c r="A32" t="s">
        <v>270</v>
      </c>
      <c r="B32" s="8" t="s">
        <v>271</v>
      </c>
      <c r="C32" t="s">
        <v>6137</v>
      </c>
      <c r="D32" s="8" t="s">
        <v>6138</v>
      </c>
    </row>
    <row r="33" spans="1:4" x14ac:dyDescent="0.35">
      <c r="A33" t="s">
        <v>270</v>
      </c>
      <c r="B33" s="8" t="s">
        <v>271</v>
      </c>
      <c r="C33" t="s">
        <v>6135</v>
      </c>
      <c r="D33" s="8" t="s">
        <v>6136</v>
      </c>
    </row>
    <row r="34" spans="1:4" x14ac:dyDescent="0.35">
      <c r="A34" t="s">
        <v>272</v>
      </c>
      <c r="B34" s="8" t="s">
        <v>274</v>
      </c>
      <c r="C34" t="s">
        <v>6139</v>
      </c>
      <c r="D34" s="8" t="s">
        <v>6140</v>
      </c>
    </row>
    <row r="35" spans="1:4" x14ac:dyDescent="0.35">
      <c r="A35" t="s">
        <v>272</v>
      </c>
      <c r="B35" s="8" t="s">
        <v>274</v>
      </c>
      <c r="C35" t="s">
        <v>6135</v>
      </c>
      <c r="D35" s="8" t="s">
        <v>6136</v>
      </c>
    </row>
    <row r="36" spans="1:4" x14ac:dyDescent="0.35">
      <c r="A36" t="s">
        <v>272</v>
      </c>
      <c r="B36" s="8" t="s">
        <v>274</v>
      </c>
      <c r="C36" t="s">
        <v>6141</v>
      </c>
      <c r="D36" s="8" t="s">
        <v>6142</v>
      </c>
    </row>
    <row r="37" spans="1:4" x14ac:dyDescent="0.35">
      <c r="A37" t="s">
        <v>6143</v>
      </c>
      <c r="B37" s="8" t="s">
        <v>276</v>
      </c>
      <c r="C37" t="s">
        <v>6144</v>
      </c>
      <c r="D37" s="8" t="s">
        <v>6145</v>
      </c>
    </row>
    <row r="38" spans="1:4" x14ac:dyDescent="0.35">
      <c r="A38" t="s">
        <v>6143</v>
      </c>
      <c r="B38" s="8" t="s">
        <v>276</v>
      </c>
      <c r="C38" t="s">
        <v>6135</v>
      </c>
      <c r="D38" s="8" t="s">
        <v>6136</v>
      </c>
    </row>
    <row r="39" spans="1:4" x14ac:dyDescent="0.35">
      <c r="A39" t="s">
        <v>277</v>
      </c>
      <c r="B39" s="8" t="s">
        <v>278</v>
      </c>
      <c r="C39" t="s">
        <v>6115</v>
      </c>
      <c r="D39" s="8" t="s">
        <v>6116</v>
      </c>
    </row>
    <row r="40" spans="1:4" x14ac:dyDescent="0.35">
      <c r="A40" t="s">
        <v>277</v>
      </c>
      <c r="B40" s="8" t="s">
        <v>278</v>
      </c>
      <c r="C40" t="s">
        <v>6135</v>
      </c>
      <c r="D40" s="8" t="s">
        <v>6136</v>
      </c>
    </row>
    <row r="41" spans="1:4" x14ac:dyDescent="0.35">
      <c r="A41" t="s">
        <v>279</v>
      </c>
      <c r="B41" s="8" t="s">
        <v>280</v>
      </c>
      <c r="C41" t="s">
        <v>6117</v>
      </c>
      <c r="D41" s="8" t="s">
        <v>6118</v>
      </c>
    </row>
    <row r="42" spans="1:4" x14ac:dyDescent="0.35">
      <c r="A42" t="s">
        <v>279</v>
      </c>
      <c r="B42" s="8" t="s">
        <v>280</v>
      </c>
      <c r="C42" t="s">
        <v>6115</v>
      </c>
      <c r="D42" s="8" t="s">
        <v>6116</v>
      </c>
    </row>
    <row r="43" spans="1:4" x14ac:dyDescent="0.35">
      <c r="A43" t="s">
        <v>279</v>
      </c>
      <c r="B43" s="8" t="s">
        <v>280</v>
      </c>
      <c r="C43" t="s">
        <v>6119</v>
      </c>
      <c r="D43" s="8" t="s">
        <v>6120</v>
      </c>
    </row>
    <row r="44" spans="1:4" x14ac:dyDescent="0.35">
      <c r="A44" t="s">
        <v>281</v>
      </c>
      <c r="B44" s="8" t="s">
        <v>282</v>
      </c>
      <c r="C44" t="s">
        <v>6117</v>
      </c>
      <c r="D44" s="8" t="s">
        <v>6118</v>
      </c>
    </row>
    <row r="45" spans="1:4" x14ac:dyDescent="0.35">
      <c r="A45" t="s">
        <v>281</v>
      </c>
      <c r="B45" s="8" t="s">
        <v>282</v>
      </c>
      <c r="C45" t="s">
        <v>6115</v>
      </c>
      <c r="D45" s="8" t="s">
        <v>6116</v>
      </c>
    </row>
    <row r="46" spans="1:4" x14ac:dyDescent="0.35">
      <c r="A46" t="s">
        <v>281</v>
      </c>
      <c r="B46" s="8" t="s">
        <v>282</v>
      </c>
      <c r="C46" t="s">
        <v>6125</v>
      </c>
      <c r="D46" s="8" t="s">
        <v>6126</v>
      </c>
    </row>
    <row r="47" spans="1:4" x14ac:dyDescent="0.35">
      <c r="A47" t="s">
        <v>281</v>
      </c>
      <c r="B47" s="8" t="s">
        <v>282</v>
      </c>
      <c r="C47" t="s">
        <v>6119</v>
      </c>
      <c r="D47" s="8" t="s">
        <v>6120</v>
      </c>
    </row>
    <row r="48" spans="1:4" x14ac:dyDescent="0.35">
      <c r="A48" t="s">
        <v>281</v>
      </c>
      <c r="B48" s="8" t="s">
        <v>282</v>
      </c>
      <c r="C48" t="s">
        <v>6146</v>
      </c>
      <c r="D48" s="8" t="s">
        <v>6147</v>
      </c>
    </row>
    <row r="49" spans="1:4" x14ac:dyDescent="0.35">
      <c r="A49" t="s">
        <v>283</v>
      </c>
      <c r="B49" s="8" t="s">
        <v>284</v>
      </c>
      <c r="C49" t="s">
        <v>6117</v>
      </c>
      <c r="D49" s="8" t="s">
        <v>6118</v>
      </c>
    </row>
    <row r="50" spans="1:4" x14ac:dyDescent="0.35">
      <c r="A50" t="s">
        <v>283</v>
      </c>
      <c r="B50" s="8" t="s">
        <v>284</v>
      </c>
      <c r="C50" t="s">
        <v>6115</v>
      </c>
      <c r="D50" s="8" t="s">
        <v>6116</v>
      </c>
    </row>
    <row r="51" spans="1:4" x14ac:dyDescent="0.35">
      <c r="A51" t="s">
        <v>283</v>
      </c>
      <c r="B51" s="8" t="s">
        <v>284</v>
      </c>
      <c r="C51" t="s">
        <v>6119</v>
      </c>
      <c r="D51" s="8" t="s">
        <v>6120</v>
      </c>
    </row>
    <row r="52" spans="1:4" x14ac:dyDescent="0.35">
      <c r="A52" t="s">
        <v>285</v>
      </c>
      <c r="B52" s="8" t="s">
        <v>286</v>
      </c>
      <c r="C52" t="s">
        <v>6117</v>
      </c>
      <c r="D52" s="8" t="s">
        <v>6118</v>
      </c>
    </row>
    <row r="53" spans="1:4" x14ac:dyDescent="0.35">
      <c r="A53" t="s">
        <v>285</v>
      </c>
      <c r="B53" s="8" t="s">
        <v>286</v>
      </c>
      <c r="C53" t="s">
        <v>6115</v>
      </c>
      <c r="D53" s="8" t="s">
        <v>6116</v>
      </c>
    </row>
    <row r="54" spans="1:4" x14ac:dyDescent="0.35">
      <c r="A54" t="s">
        <v>285</v>
      </c>
      <c r="B54" s="8" t="s">
        <v>286</v>
      </c>
      <c r="C54" t="s">
        <v>6125</v>
      </c>
      <c r="D54" s="8" t="s">
        <v>6126</v>
      </c>
    </row>
    <row r="55" spans="1:4" x14ac:dyDescent="0.35">
      <c r="A55" t="s">
        <v>285</v>
      </c>
      <c r="B55" s="8" t="s">
        <v>286</v>
      </c>
      <c r="C55" t="s">
        <v>6119</v>
      </c>
      <c r="D55" s="8" t="s">
        <v>6120</v>
      </c>
    </row>
    <row r="56" spans="1:4" x14ac:dyDescent="0.35">
      <c r="A56" t="s">
        <v>287</v>
      </c>
      <c r="B56" s="8" t="s">
        <v>288</v>
      </c>
      <c r="C56" t="s">
        <v>6117</v>
      </c>
      <c r="D56" s="8" t="s">
        <v>6118</v>
      </c>
    </row>
    <row r="57" spans="1:4" x14ac:dyDescent="0.35">
      <c r="A57" t="s">
        <v>287</v>
      </c>
      <c r="B57" s="8" t="s">
        <v>288</v>
      </c>
      <c r="C57" t="s">
        <v>6125</v>
      </c>
      <c r="D57" s="8" t="s">
        <v>6126</v>
      </c>
    </row>
    <row r="58" spans="1:4" x14ac:dyDescent="0.35">
      <c r="A58" t="s">
        <v>287</v>
      </c>
      <c r="B58" s="8" t="s">
        <v>288</v>
      </c>
      <c r="C58" t="s">
        <v>6119</v>
      </c>
      <c r="D58" s="8" t="s">
        <v>6120</v>
      </c>
    </row>
    <row r="59" spans="1:4" x14ac:dyDescent="0.35">
      <c r="A59" t="s">
        <v>289</v>
      </c>
      <c r="B59" s="8" t="s">
        <v>290</v>
      </c>
      <c r="C59" t="s">
        <v>6117</v>
      </c>
      <c r="D59" s="8" t="s">
        <v>6118</v>
      </c>
    </row>
    <row r="60" spans="1:4" x14ac:dyDescent="0.35">
      <c r="A60" t="s">
        <v>289</v>
      </c>
      <c r="B60" s="8" t="s">
        <v>290</v>
      </c>
      <c r="C60" t="s">
        <v>6115</v>
      </c>
      <c r="D60" s="8" t="s">
        <v>6116</v>
      </c>
    </row>
    <row r="61" spans="1:4" x14ac:dyDescent="0.35">
      <c r="A61" t="s">
        <v>289</v>
      </c>
      <c r="B61" s="8" t="s">
        <v>290</v>
      </c>
      <c r="C61" t="s">
        <v>6125</v>
      </c>
      <c r="D61" s="8" t="s">
        <v>6126</v>
      </c>
    </row>
    <row r="62" spans="1:4" x14ac:dyDescent="0.35">
      <c r="A62" t="s">
        <v>289</v>
      </c>
      <c r="B62" s="8" t="s">
        <v>290</v>
      </c>
      <c r="C62" t="s">
        <v>6119</v>
      </c>
      <c r="D62" s="8" t="s">
        <v>6120</v>
      </c>
    </row>
    <row r="63" spans="1:4" x14ac:dyDescent="0.35">
      <c r="A63" t="s">
        <v>289</v>
      </c>
      <c r="B63" s="8" t="s">
        <v>290</v>
      </c>
      <c r="C63" t="s">
        <v>6146</v>
      </c>
      <c r="D63" s="8" t="s">
        <v>6147</v>
      </c>
    </row>
    <row r="64" spans="1:4" x14ac:dyDescent="0.35">
      <c r="A64" t="s">
        <v>291</v>
      </c>
      <c r="B64" s="8" t="s">
        <v>292</v>
      </c>
      <c r="C64" t="s">
        <v>6117</v>
      </c>
      <c r="D64" s="8" t="s">
        <v>6118</v>
      </c>
    </row>
    <row r="65" spans="1:4" x14ac:dyDescent="0.35">
      <c r="A65" t="s">
        <v>291</v>
      </c>
      <c r="B65" s="8" t="s">
        <v>292</v>
      </c>
      <c r="C65" t="s">
        <v>6111</v>
      </c>
      <c r="D65" s="8" t="s">
        <v>6112</v>
      </c>
    </row>
    <row r="66" spans="1:4" x14ac:dyDescent="0.35">
      <c r="A66" t="s">
        <v>291</v>
      </c>
      <c r="B66" s="8" t="s">
        <v>292</v>
      </c>
      <c r="C66" t="s">
        <v>6148</v>
      </c>
      <c r="D66" s="8" t="s">
        <v>6149</v>
      </c>
    </row>
    <row r="67" spans="1:4" x14ac:dyDescent="0.35">
      <c r="A67" t="s">
        <v>291</v>
      </c>
      <c r="B67" s="8" t="s">
        <v>292</v>
      </c>
      <c r="C67" t="s">
        <v>6115</v>
      </c>
      <c r="D67" s="8" t="s">
        <v>6116</v>
      </c>
    </row>
    <row r="68" spans="1:4" x14ac:dyDescent="0.35">
      <c r="A68" t="s">
        <v>291</v>
      </c>
      <c r="B68" s="8" t="s">
        <v>292</v>
      </c>
      <c r="C68" t="s">
        <v>6150</v>
      </c>
      <c r="D68" s="8" t="s">
        <v>6151</v>
      </c>
    </row>
    <row r="69" spans="1:4" x14ac:dyDescent="0.35">
      <c r="A69" t="s">
        <v>291</v>
      </c>
      <c r="B69" s="8" t="s">
        <v>292</v>
      </c>
      <c r="C69" t="s">
        <v>6119</v>
      </c>
      <c r="D69" s="8" t="s">
        <v>6120</v>
      </c>
    </row>
    <row r="70" spans="1:4" x14ac:dyDescent="0.35">
      <c r="A70" t="s">
        <v>6152</v>
      </c>
      <c r="B70" s="8" t="s">
        <v>296</v>
      </c>
      <c r="C70" t="s">
        <v>6117</v>
      </c>
      <c r="D70" s="8" t="s">
        <v>6118</v>
      </c>
    </row>
    <row r="71" spans="1:4" x14ac:dyDescent="0.35">
      <c r="A71" t="s">
        <v>6152</v>
      </c>
      <c r="B71" s="8" t="s">
        <v>296</v>
      </c>
      <c r="C71" t="s">
        <v>6107</v>
      </c>
      <c r="D71" s="8" t="s">
        <v>6108</v>
      </c>
    </row>
    <row r="72" spans="1:4" x14ac:dyDescent="0.35">
      <c r="A72" t="s">
        <v>6152</v>
      </c>
      <c r="B72" s="8" t="s">
        <v>296</v>
      </c>
      <c r="C72" t="s">
        <v>6125</v>
      </c>
      <c r="D72" s="8" t="s">
        <v>6126</v>
      </c>
    </row>
    <row r="73" spans="1:4" x14ac:dyDescent="0.35">
      <c r="A73" t="s">
        <v>6152</v>
      </c>
      <c r="B73" s="8" t="s">
        <v>296</v>
      </c>
      <c r="C73" t="s">
        <v>6119</v>
      </c>
      <c r="D73" s="8" t="s">
        <v>6120</v>
      </c>
    </row>
    <row r="74" spans="1:4" x14ac:dyDescent="0.35">
      <c r="A74" t="s">
        <v>6152</v>
      </c>
      <c r="B74" s="8" t="s">
        <v>296</v>
      </c>
      <c r="C74" t="s">
        <v>6146</v>
      </c>
      <c r="D74" s="8" t="s">
        <v>6147</v>
      </c>
    </row>
    <row r="75" spans="1:4" x14ac:dyDescent="0.35">
      <c r="A75" t="s">
        <v>6152</v>
      </c>
      <c r="B75" s="8" t="s">
        <v>296</v>
      </c>
      <c r="C75" t="s">
        <v>6153</v>
      </c>
      <c r="D75" s="8" t="s">
        <v>6154</v>
      </c>
    </row>
    <row r="76" spans="1:4" x14ac:dyDescent="0.35">
      <c r="A76" t="s">
        <v>297</v>
      </c>
      <c r="B76" s="8" t="s">
        <v>298</v>
      </c>
      <c r="C76" t="s">
        <v>6117</v>
      </c>
      <c r="D76" s="8" t="s">
        <v>6118</v>
      </c>
    </row>
    <row r="77" spans="1:4" x14ac:dyDescent="0.35">
      <c r="A77" t="s">
        <v>297</v>
      </c>
      <c r="B77" s="8" t="s">
        <v>298</v>
      </c>
      <c r="C77" t="s">
        <v>6115</v>
      </c>
      <c r="D77" s="8" t="s">
        <v>6116</v>
      </c>
    </row>
    <row r="78" spans="1:4" x14ac:dyDescent="0.35">
      <c r="A78" t="s">
        <v>297</v>
      </c>
      <c r="B78" s="8" t="s">
        <v>298</v>
      </c>
      <c r="C78" t="s">
        <v>6119</v>
      </c>
      <c r="D78" s="8" t="s">
        <v>6120</v>
      </c>
    </row>
    <row r="79" spans="1:4" x14ac:dyDescent="0.35">
      <c r="A79" t="s">
        <v>299</v>
      </c>
      <c r="B79" s="8" t="s">
        <v>300</v>
      </c>
      <c r="C79" t="s">
        <v>6155</v>
      </c>
      <c r="D79" s="8" t="s">
        <v>6156</v>
      </c>
    </row>
    <row r="80" spans="1:4" x14ac:dyDescent="0.35">
      <c r="A80" t="s">
        <v>299</v>
      </c>
      <c r="B80" s="8" t="s">
        <v>300</v>
      </c>
      <c r="C80" t="s">
        <v>6115</v>
      </c>
      <c r="D80" s="8" t="s">
        <v>6116</v>
      </c>
    </row>
    <row r="81" spans="1:4" x14ac:dyDescent="0.35">
      <c r="A81" t="s">
        <v>299</v>
      </c>
      <c r="B81" s="8" t="s">
        <v>300</v>
      </c>
      <c r="C81" t="s">
        <v>6119</v>
      </c>
      <c r="D81" s="8" t="s">
        <v>6120</v>
      </c>
    </row>
    <row r="82" spans="1:4" x14ac:dyDescent="0.35">
      <c r="A82" t="s">
        <v>299</v>
      </c>
      <c r="B82" s="8" t="s">
        <v>300</v>
      </c>
      <c r="C82" t="s">
        <v>6157</v>
      </c>
      <c r="D82" s="8" t="s">
        <v>6158</v>
      </c>
    </row>
    <row r="83" spans="1:4" x14ac:dyDescent="0.35">
      <c r="A83" t="s">
        <v>302</v>
      </c>
      <c r="B83" s="8" t="s">
        <v>303</v>
      </c>
      <c r="C83" t="s">
        <v>6144</v>
      </c>
      <c r="D83" s="8" t="s">
        <v>6145</v>
      </c>
    </row>
    <row r="84" spans="1:4" x14ac:dyDescent="0.35">
      <c r="A84" t="s">
        <v>302</v>
      </c>
      <c r="B84" s="8" t="s">
        <v>303</v>
      </c>
      <c r="C84" t="s">
        <v>6159</v>
      </c>
      <c r="D84" s="8" t="s">
        <v>6160</v>
      </c>
    </row>
    <row r="85" spans="1:4" x14ac:dyDescent="0.35">
      <c r="A85" t="s">
        <v>304</v>
      </c>
      <c r="B85" s="8" t="s">
        <v>305</v>
      </c>
      <c r="C85" t="s">
        <v>6115</v>
      </c>
      <c r="D85" s="8" t="s">
        <v>6116</v>
      </c>
    </row>
    <row r="86" spans="1:4" x14ac:dyDescent="0.35">
      <c r="A86" t="s">
        <v>304</v>
      </c>
      <c r="B86" s="8" t="s">
        <v>305</v>
      </c>
      <c r="C86" t="s">
        <v>6161</v>
      </c>
      <c r="D86" s="8" t="s">
        <v>6162</v>
      </c>
    </row>
    <row r="87" spans="1:4" x14ac:dyDescent="0.35">
      <c r="A87" t="s">
        <v>306</v>
      </c>
      <c r="B87" s="8" t="s">
        <v>307</v>
      </c>
      <c r="C87" t="s">
        <v>6115</v>
      </c>
      <c r="D87" s="8" t="s">
        <v>6116</v>
      </c>
    </row>
    <row r="88" spans="1:4" x14ac:dyDescent="0.35">
      <c r="A88" t="s">
        <v>306</v>
      </c>
      <c r="B88" s="8" t="s">
        <v>307</v>
      </c>
      <c r="C88" t="s">
        <v>6161</v>
      </c>
      <c r="D88" s="8" t="s">
        <v>6162</v>
      </c>
    </row>
    <row r="89" spans="1:4" x14ac:dyDescent="0.35">
      <c r="A89" t="s">
        <v>308</v>
      </c>
      <c r="B89" s="8" t="s">
        <v>309</v>
      </c>
      <c r="C89" t="s">
        <v>6163</v>
      </c>
      <c r="D89" s="8" t="s">
        <v>6164</v>
      </c>
    </row>
    <row r="90" spans="1:4" x14ac:dyDescent="0.35">
      <c r="A90" t="s">
        <v>6165</v>
      </c>
      <c r="B90" s="8" t="s">
        <v>310</v>
      </c>
      <c r="C90" t="s">
        <v>6144</v>
      </c>
      <c r="D90" s="8" t="s">
        <v>6145</v>
      </c>
    </row>
    <row r="91" spans="1:4" x14ac:dyDescent="0.35">
      <c r="A91" t="s">
        <v>6165</v>
      </c>
      <c r="B91" s="8" t="s">
        <v>310</v>
      </c>
      <c r="C91" t="s">
        <v>6159</v>
      </c>
      <c r="D91" s="8" t="s">
        <v>6160</v>
      </c>
    </row>
    <row r="92" spans="1:4" x14ac:dyDescent="0.35">
      <c r="A92" t="s">
        <v>311</v>
      </c>
      <c r="B92" s="8" t="s">
        <v>312</v>
      </c>
      <c r="C92" t="s">
        <v>6163</v>
      </c>
      <c r="D92" s="8" t="s">
        <v>6164</v>
      </c>
    </row>
    <row r="93" spans="1:4" x14ac:dyDescent="0.35">
      <c r="A93" t="s">
        <v>313</v>
      </c>
      <c r="B93" s="8" t="s">
        <v>314</v>
      </c>
      <c r="C93" t="s">
        <v>6117</v>
      </c>
      <c r="D93" s="8" t="s">
        <v>6118</v>
      </c>
    </row>
    <row r="94" spans="1:4" x14ac:dyDescent="0.35">
      <c r="A94" t="s">
        <v>313</v>
      </c>
      <c r="B94" s="8" t="s">
        <v>314</v>
      </c>
      <c r="C94" t="s">
        <v>6115</v>
      </c>
      <c r="D94" s="8" t="s">
        <v>6116</v>
      </c>
    </row>
    <row r="95" spans="1:4" x14ac:dyDescent="0.35">
      <c r="A95" t="s">
        <v>313</v>
      </c>
      <c r="B95" s="8" t="s">
        <v>314</v>
      </c>
      <c r="C95" t="s">
        <v>6125</v>
      </c>
      <c r="D95" s="8" t="s">
        <v>6126</v>
      </c>
    </row>
    <row r="96" spans="1:4" x14ac:dyDescent="0.35">
      <c r="A96" t="s">
        <v>313</v>
      </c>
      <c r="B96" s="8" t="s">
        <v>314</v>
      </c>
      <c r="C96" t="s">
        <v>6166</v>
      </c>
      <c r="D96" s="8" t="s">
        <v>6167</v>
      </c>
    </row>
    <row r="97" spans="1:4" x14ac:dyDescent="0.35">
      <c r="A97" t="s">
        <v>313</v>
      </c>
      <c r="B97" s="8" t="s">
        <v>314</v>
      </c>
      <c r="C97" t="s">
        <v>6168</v>
      </c>
      <c r="D97" s="8" t="s">
        <v>6169</v>
      </c>
    </row>
    <row r="98" spans="1:4" x14ac:dyDescent="0.35">
      <c r="A98" t="s">
        <v>315</v>
      </c>
      <c r="B98" s="8" t="s">
        <v>316</v>
      </c>
      <c r="C98" t="s">
        <v>6117</v>
      </c>
      <c r="D98" s="8" t="s">
        <v>6118</v>
      </c>
    </row>
    <row r="99" spans="1:4" x14ac:dyDescent="0.35">
      <c r="A99" t="s">
        <v>315</v>
      </c>
      <c r="B99" s="8" t="s">
        <v>316</v>
      </c>
      <c r="C99" t="s">
        <v>6115</v>
      </c>
      <c r="D99" s="8" t="s">
        <v>6116</v>
      </c>
    </row>
    <row r="100" spans="1:4" x14ac:dyDescent="0.35">
      <c r="A100" t="s">
        <v>315</v>
      </c>
      <c r="B100" s="8" t="s">
        <v>316</v>
      </c>
      <c r="C100" t="s">
        <v>6166</v>
      </c>
      <c r="D100" s="8" t="s">
        <v>6167</v>
      </c>
    </row>
    <row r="101" spans="1:4" x14ac:dyDescent="0.35">
      <c r="A101" t="s">
        <v>315</v>
      </c>
      <c r="B101" s="8" t="s">
        <v>316</v>
      </c>
      <c r="C101" t="s">
        <v>6168</v>
      </c>
      <c r="D101" s="8" t="s">
        <v>6169</v>
      </c>
    </row>
    <row r="102" spans="1:4" x14ac:dyDescent="0.35">
      <c r="A102" t="s">
        <v>317</v>
      </c>
      <c r="B102" s="8" t="s">
        <v>318</v>
      </c>
      <c r="C102" t="s">
        <v>6117</v>
      </c>
      <c r="D102" s="8" t="s">
        <v>6118</v>
      </c>
    </row>
    <row r="103" spans="1:4" x14ac:dyDescent="0.35">
      <c r="A103" t="s">
        <v>317</v>
      </c>
      <c r="B103" s="8" t="s">
        <v>318</v>
      </c>
      <c r="C103" t="s">
        <v>6115</v>
      </c>
      <c r="D103" s="8" t="s">
        <v>6116</v>
      </c>
    </row>
    <row r="104" spans="1:4" x14ac:dyDescent="0.35">
      <c r="A104" t="s">
        <v>317</v>
      </c>
      <c r="B104" s="8" t="s">
        <v>318</v>
      </c>
      <c r="C104" t="s">
        <v>6166</v>
      </c>
      <c r="D104" s="8" t="s">
        <v>6167</v>
      </c>
    </row>
    <row r="105" spans="1:4" x14ac:dyDescent="0.35">
      <c r="A105" t="s">
        <v>317</v>
      </c>
      <c r="B105" s="8" t="s">
        <v>318</v>
      </c>
      <c r="C105" t="s">
        <v>6168</v>
      </c>
      <c r="D105" s="8" t="s">
        <v>6169</v>
      </c>
    </row>
    <row r="106" spans="1:4" x14ac:dyDescent="0.35">
      <c r="A106" t="s">
        <v>317</v>
      </c>
      <c r="B106" s="8" t="s">
        <v>318</v>
      </c>
      <c r="C106" t="s">
        <v>6119</v>
      </c>
      <c r="D106" s="8" t="s">
        <v>6120</v>
      </c>
    </row>
    <row r="107" spans="1:4" x14ac:dyDescent="0.35">
      <c r="A107" t="s">
        <v>319</v>
      </c>
      <c r="B107" s="8" t="s">
        <v>320</v>
      </c>
      <c r="C107" t="s">
        <v>6115</v>
      </c>
      <c r="D107" s="8" t="s">
        <v>6116</v>
      </c>
    </row>
    <row r="108" spans="1:4" x14ac:dyDescent="0.35">
      <c r="A108" t="s">
        <v>319</v>
      </c>
      <c r="B108" s="8" t="s">
        <v>320</v>
      </c>
      <c r="C108" t="s">
        <v>6166</v>
      </c>
      <c r="D108" s="8" t="s">
        <v>6167</v>
      </c>
    </row>
    <row r="109" spans="1:4" x14ac:dyDescent="0.35">
      <c r="A109" t="s">
        <v>319</v>
      </c>
      <c r="B109" s="8" t="s">
        <v>320</v>
      </c>
      <c r="C109" t="s">
        <v>6168</v>
      </c>
      <c r="D109" s="8" t="s">
        <v>6169</v>
      </c>
    </row>
    <row r="110" spans="1:4" x14ac:dyDescent="0.35">
      <c r="A110" t="s">
        <v>319</v>
      </c>
      <c r="B110" s="8" t="s">
        <v>320</v>
      </c>
      <c r="C110" t="s">
        <v>6170</v>
      </c>
      <c r="D110" s="8" t="s">
        <v>6171</v>
      </c>
    </row>
    <row r="111" spans="1:4" x14ac:dyDescent="0.35">
      <c r="A111" t="s">
        <v>321</v>
      </c>
      <c r="B111" s="8" t="s">
        <v>322</v>
      </c>
      <c r="C111" t="s">
        <v>6117</v>
      </c>
      <c r="D111" s="8" t="s">
        <v>6118</v>
      </c>
    </row>
    <row r="112" spans="1:4" x14ac:dyDescent="0.35">
      <c r="A112" t="s">
        <v>321</v>
      </c>
      <c r="B112" s="8" t="s">
        <v>322</v>
      </c>
      <c r="C112" t="s">
        <v>6115</v>
      </c>
      <c r="D112" s="8" t="s">
        <v>6116</v>
      </c>
    </row>
    <row r="113" spans="1:4" x14ac:dyDescent="0.35">
      <c r="A113" t="s">
        <v>321</v>
      </c>
      <c r="B113" s="8" t="s">
        <v>322</v>
      </c>
      <c r="C113" t="s">
        <v>6166</v>
      </c>
      <c r="D113" s="8" t="s">
        <v>6167</v>
      </c>
    </row>
    <row r="114" spans="1:4" x14ac:dyDescent="0.35">
      <c r="A114" t="s">
        <v>321</v>
      </c>
      <c r="B114" s="8" t="s">
        <v>322</v>
      </c>
      <c r="C114" t="s">
        <v>6168</v>
      </c>
      <c r="D114" s="8" t="s">
        <v>6169</v>
      </c>
    </row>
    <row r="115" spans="1:4" x14ac:dyDescent="0.35">
      <c r="A115" t="s">
        <v>321</v>
      </c>
      <c r="B115" s="8" t="s">
        <v>322</v>
      </c>
      <c r="C115" t="s">
        <v>6170</v>
      </c>
      <c r="D115" s="8" t="s">
        <v>6171</v>
      </c>
    </row>
    <row r="116" spans="1:4" x14ac:dyDescent="0.35">
      <c r="A116" t="s">
        <v>321</v>
      </c>
      <c r="B116" s="8" t="s">
        <v>322</v>
      </c>
      <c r="C116" t="s">
        <v>6119</v>
      </c>
      <c r="D116" s="8" t="s">
        <v>6120</v>
      </c>
    </row>
    <row r="117" spans="1:4" x14ac:dyDescent="0.35">
      <c r="A117" t="s">
        <v>321</v>
      </c>
      <c r="B117" s="8" t="s">
        <v>322</v>
      </c>
      <c r="C117" t="s">
        <v>6172</v>
      </c>
      <c r="D117" s="8" t="s">
        <v>6173</v>
      </c>
    </row>
    <row r="118" spans="1:4" x14ac:dyDescent="0.35">
      <c r="A118" t="s">
        <v>323</v>
      </c>
      <c r="B118" s="8" t="s">
        <v>324</v>
      </c>
      <c r="C118" t="s">
        <v>6115</v>
      </c>
      <c r="D118" s="8" t="s">
        <v>6116</v>
      </c>
    </row>
    <row r="119" spans="1:4" x14ac:dyDescent="0.35">
      <c r="A119" t="s">
        <v>323</v>
      </c>
      <c r="B119" s="8" t="s">
        <v>324</v>
      </c>
      <c r="C119" t="s">
        <v>6166</v>
      </c>
      <c r="D119" s="8" t="s">
        <v>6167</v>
      </c>
    </row>
    <row r="120" spans="1:4" x14ac:dyDescent="0.35">
      <c r="A120" t="s">
        <v>323</v>
      </c>
      <c r="B120" s="8" t="s">
        <v>324</v>
      </c>
      <c r="C120" t="s">
        <v>6168</v>
      </c>
      <c r="D120" s="8" t="s">
        <v>6169</v>
      </c>
    </row>
    <row r="121" spans="1:4" x14ac:dyDescent="0.35">
      <c r="A121" t="s">
        <v>323</v>
      </c>
      <c r="B121" s="8" t="s">
        <v>324</v>
      </c>
      <c r="C121" t="s">
        <v>6170</v>
      </c>
      <c r="D121" s="8" t="s">
        <v>6171</v>
      </c>
    </row>
    <row r="122" spans="1:4" x14ac:dyDescent="0.35">
      <c r="A122" t="s">
        <v>325</v>
      </c>
      <c r="B122" s="8" t="s">
        <v>326</v>
      </c>
      <c r="C122" t="s">
        <v>6174</v>
      </c>
      <c r="D122" s="8" t="s">
        <v>6175</v>
      </c>
    </row>
    <row r="123" spans="1:4" x14ac:dyDescent="0.35">
      <c r="A123" t="s">
        <v>6176</v>
      </c>
      <c r="B123" s="8" t="s">
        <v>327</v>
      </c>
      <c r="C123" t="s">
        <v>6117</v>
      </c>
      <c r="D123" s="8" t="s">
        <v>6118</v>
      </c>
    </row>
    <row r="124" spans="1:4" x14ac:dyDescent="0.35">
      <c r="A124" t="s">
        <v>6176</v>
      </c>
      <c r="B124" s="8" t="s">
        <v>327</v>
      </c>
      <c r="C124" t="s">
        <v>6125</v>
      </c>
      <c r="D124" s="8" t="s">
        <v>6126</v>
      </c>
    </row>
    <row r="125" spans="1:4" x14ac:dyDescent="0.35">
      <c r="A125" t="s">
        <v>6177</v>
      </c>
      <c r="B125" s="8" t="s">
        <v>328</v>
      </c>
      <c r="C125" t="s">
        <v>6117</v>
      </c>
      <c r="D125" s="8" t="s">
        <v>6118</v>
      </c>
    </row>
    <row r="126" spans="1:4" x14ac:dyDescent="0.35">
      <c r="A126" t="s">
        <v>6177</v>
      </c>
      <c r="B126" s="8" t="s">
        <v>328</v>
      </c>
      <c r="C126" t="s">
        <v>6125</v>
      </c>
      <c r="D126" s="8" t="s">
        <v>6126</v>
      </c>
    </row>
    <row r="127" spans="1:4" x14ac:dyDescent="0.35">
      <c r="A127" t="s">
        <v>329</v>
      </c>
      <c r="B127" s="8" t="s">
        <v>330</v>
      </c>
      <c r="C127" t="s">
        <v>6163</v>
      </c>
      <c r="D127" s="8" t="s">
        <v>6164</v>
      </c>
    </row>
    <row r="128" spans="1:4" x14ac:dyDescent="0.35">
      <c r="A128" t="s">
        <v>331</v>
      </c>
      <c r="B128" s="8" t="s">
        <v>332</v>
      </c>
      <c r="C128" t="s">
        <v>6109</v>
      </c>
      <c r="D128" s="8" t="s">
        <v>6110</v>
      </c>
    </row>
    <row r="129" spans="1:4" x14ac:dyDescent="0.35">
      <c r="A129" t="s">
        <v>331</v>
      </c>
      <c r="B129" s="8" t="s">
        <v>332</v>
      </c>
      <c r="C129" t="s">
        <v>6115</v>
      </c>
      <c r="D129" s="8" t="s">
        <v>6116</v>
      </c>
    </row>
    <row r="130" spans="1:4" x14ac:dyDescent="0.35">
      <c r="A130" t="s">
        <v>333</v>
      </c>
      <c r="B130" s="8" t="s">
        <v>334</v>
      </c>
      <c r="C130" t="s">
        <v>6125</v>
      </c>
      <c r="D130" s="8" t="s">
        <v>6126</v>
      </c>
    </row>
    <row r="131" spans="1:4" x14ac:dyDescent="0.35">
      <c r="A131" t="s">
        <v>335</v>
      </c>
      <c r="B131" s="8" t="s">
        <v>336</v>
      </c>
      <c r="C131" t="s">
        <v>6178</v>
      </c>
      <c r="D131" s="8" t="s">
        <v>6179</v>
      </c>
    </row>
    <row r="132" spans="1:4" x14ac:dyDescent="0.35">
      <c r="A132" t="s">
        <v>335</v>
      </c>
      <c r="B132" s="8" t="s">
        <v>336</v>
      </c>
      <c r="C132" t="s">
        <v>6180</v>
      </c>
      <c r="D132" s="8" t="s">
        <v>6181</v>
      </c>
    </row>
    <row r="133" spans="1:4" x14ac:dyDescent="0.35">
      <c r="A133" t="s">
        <v>337</v>
      </c>
      <c r="B133" s="8" t="s">
        <v>338</v>
      </c>
      <c r="C133" t="s">
        <v>6163</v>
      </c>
      <c r="D133" s="8" t="s">
        <v>6164</v>
      </c>
    </row>
    <row r="134" spans="1:4" x14ac:dyDescent="0.35">
      <c r="A134" t="s">
        <v>339</v>
      </c>
      <c r="B134" s="8" t="s">
        <v>340</v>
      </c>
      <c r="C134" t="s">
        <v>6117</v>
      </c>
      <c r="D134" s="8" t="s">
        <v>6118</v>
      </c>
    </row>
    <row r="135" spans="1:4" x14ac:dyDescent="0.35">
      <c r="A135" t="s">
        <v>339</v>
      </c>
      <c r="B135" s="8" t="s">
        <v>340</v>
      </c>
      <c r="C135" t="s">
        <v>6107</v>
      </c>
      <c r="D135" s="8" t="s">
        <v>6108</v>
      </c>
    </row>
    <row r="136" spans="1:4" x14ac:dyDescent="0.35">
      <c r="A136" t="s">
        <v>339</v>
      </c>
      <c r="B136" s="8" t="s">
        <v>340</v>
      </c>
      <c r="C136" t="s">
        <v>6113</v>
      </c>
      <c r="D136" s="8" t="s">
        <v>6114</v>
      </c>
    </row>
    <row r="137" spans="1:4" x14ac:dyDescent="0.35">
      <c r="A137" t="s">
        <v>339</v>
      </c>
      <c r="B137" s="8" t="s">
        <v>340</v>
      </c>
      <c r="C137" t="s">
        <v>6115</v>
      </c>
      <c r="D137" s="8" t="s">
        <v>6116</v>
      </c>
    </row>
    <row r="138" spans="1:4" x14ac:dyDescent="0.35">
      <c r="A138" t="s">
        <v>339</v>
      </c>
      <c r="B138" s="8" t="s">
        <v>340</v>
      </c>
      <c r="C138" t="s">
        <v>6125</v>
      </c>
      <c r="D138" s="8" t="s">
        <v>6126</v>
      </c>
    </row>
    <row r="139" spans="1:4" x14ac:dyDescent="0.35">
      <c r="A139" t="s">
        <v>339</v>
      </c>
      <c r="B139" s="8" t="s">
        <v>340</v>
      </c>
      <c r="C139" t="s">
        <v>6119</v>
      </c>
      <c r="D139" s="8" t="s">
        <v>6120</v>
      </c>
    </row>
    <row r="140" spans="1:4" x14ac:dyDescent="0.35">
      <c r="A140" t="s">
        <v>341</v>
      </c>
      <c r="B140" s="8" t="s">
        <v>342</v>
      </c>
      <c r="C140" t="s">
        <v>6117</v>
      </c>
      <c r="D140" s="8" t="s">
        <v>6118</v>
      </c>
    </row>
    <row r="141" spans="1:4" x14ac:dyDescent="0.35">
      <c r="A141" t="s">
        <v>341</v>
      </c>
      <c r="B141" s="8" t="s">
        <v>342</v>
      </c>
      <c r="C141" t="s">
        <v>6107</v>
      </c>
      <c r="D141" s="8" t="s">
        <v>6108</v>
      </c>
    </row>
    <row r="142" spans="1:4" x14ac:dyDescent="0.35">
      <c r="A142" t="s">
        <v>341</v>
      </c>
      <c r="B142" s="8" t="s">
        <v>342</v>
      </c>
      <c r="C142" t="s">
        <v>6115</v>
      </c>
      <c r="D142" s="8" t="s">
        <v>6116</v>
      </c>
    </row>
    <row r="143" spans="1:4" x14ac:dyDescent="0.35">
      <c r="A143" t="s">
        <v>341</v>
      </c>
      <c r="B143" s="8" t="s">
        <v>342</v>
      </c>
      <c r="C143" t="s">
        <v>6125</v>
      </c>
      <c r="D143" s="8" t="s">
        <v>6126</v>
      </c>
    </row>
    <row r="144" spans="1:4" x14ac:dyDescent="0.35">
      <c r="A144" t="s">
        <v>343</v>
      </c>
      <c r="B144" s="8" t="s">
        <v>344</v>
      </c>
      <c r="C144" t="s">
        <v>6117</v>
      </c>
      <c r="D144" s="8" t="s">
        <v>6118</v>
      </c>
    </row>
    <row r="145" spans="1:4" x14ac:dyDescent="0.35">
      <c r="A145" t="s">
        <v>343</v>
      </c>
      <c r="B145" s="8" t="s">
        <v>344</v>
      </c>
      <c r="C145" t="s">
        <v>6107</v>
      </c>
      <c r="D145" s="8" t="s">
        <v>6108</v>
      </c>
    </row>
    <row r="146" spans="1:4" x14ac:dyDescent="0.35">
      <c r="A146" t="s">
        <v>343</v>
      </c>
      <c r="B146" s="8" t="s">
        <v>344</v>
      </c>
      <c r="C146" t="s">
        <v>6115</v>
      </c>
      <c r="D146" s="8" t="s">
        <v>6116</v>
      </c>
    </row>
    <row r="147" spans="1:4" x14ac:dyDescent="0.35">
      <c r="A147" t="s">
        <v>345</v>
      </c>
      <c r="B147" s="8" t="s">
        <v>346</v>
      </c>
      <c r="C147" t="s">
        <v>6117</v>
      </c>
      <c r="D147" s="8" t="s">
        <v>6118</v>
      </c>
    </row>
    <row r="148" spans="1:4" x14ac:dyDescent="0.35">
      <c r="A148" t="s">
        <v>345</v>
      </c>
      <c r="B148" s="8" t="s">
        <v>346</v>
      </c>
      <c r="C148" t="s">
        <v>6107</v>
      </c>
      <c r="D148" s="8" t="s">
        <v>6108</v>
      </c>
    </row>
    <row r="149" spans="1:4" x14ac:dyDescent="0.35">
      <c r="A149" t="s">
        <v>345</v>
      </c>
      <c r="B149" s="8" t="s">
        <v>346</v>
      </c>
      <c r="C149" t="s">
        <v>6115</v>
      </c>
      <c r="D149" s="8" t="s">
        <v>6116</v>
      </c>
    </row>
    <row r="150" spans="1:4" x14ac:dyDescent="0.35">
      <c r="A150" t="s">
        <v>345</v>
      </c>
      <c r="B150" s="8" t="s">
        <v>346</v>
      </c>
      <c r="C150" t="s">
        <v>6125</v>
      </c>
      <c r="D150" s="8" t="s">
        <v>6126</v>
      </c>
    </row>
    <row r="151" spans="1:4" x14ac:dyDescent="0.35">
      <c r="A151" t="s">
        <v>347</v>
      </c>
      <c r="B151" s="8" t="s">
        <v>348</v>
      </c>
      <c r="C151" t="s">
        <v>6117</v>
      </c>
      <c r="D151" s="8" t="s">
        <v>6118</v>
      </c>
    </row>
    <row r="152" spans="1:4" x14ac:dyDescent="0.35">
      <c r="A152" t="s">
        <v>347</v>
      </c>
      <c r="B152" s="8" t="s">
        <v>348</v>
      </c>
      <c r="C152" t="s">
        <v>6107</v>
      </c>
      <c r="D152" s="8" t="s">
        <v>6108</v>
      </c>
    </row>
    <row r="153" spans="1:4" x14ac:dyDescent="0.35">
      <c r="A153" t="s">
        <v>347</v>
      </c>
      <c r="B153" s="8" t="s">
        <v>348</v>
      </c>
      <c r="C153" t="s">
        <v>6113</v>
      </c>
      <c r="D153" s="8" t="s">
        <v>6114</v>
      </c>
    </row>
    <row r="154" spans="1:4" x14ac:dyDescent="0.35">
      <c r="A154" t="s">
        <v>347</v>
      </c>
      <c r="B154" s="8" t="s">
        <v>348</v>
      </c>
      <c r="C154" t="s">
        <v>6115</v>
      </c>
      <c r="D154" s="8" t="s">
        <v>6116</v>
      </c>
    </row>
    <row r="155" spans="1:4" x14ac:dyDescent="0.35">
      <c r="A155" t="s">
        <v>347</v>
      </c>
      <c r="B155" s="8" t="s">
        <v>348</v>
      </c>
      <c r="C155" t="s">
        <v>6125</v>
      </c>
      <c r="D155" s="8" t="s">
        <v>6126</v>
      </c>
    </row>
    <row r="156" spans="1:4" x14ac:dyDescent="0.35">
      <c r="A156" t="s">
        <v>347</v>
      </c>
      <c r="B156" s="8" t="s">
        <v>348</v>
      </c>
      <c r="C156" t="s">
        <v>6119</v>
      </c>
      <c r="D156" s="8" t="s">
        <v>6120</v>
      </c>
    </row>
    <row r="157" spans="1:4" x14ac:dyDescent="0.35">
      <c r="A157" t="s">
        <v>349</v>
      </c>
      <c r="B157" s="8" t="s">
        <v>350</v>
      </c>
      <c r="C157" t="s">
        <v>6117</v>
      </c>
      <c r="D157" s="8" t="s">
        <v>6118</v>
      </c>
    </row>
    <row r="158" spans="1:4" x14ac:dyDescent="0.35">
      <c r="A158" t="s">
        <v>349</v>
      </c>
      <c r="B158" s="8" t="s">
        <v>350</v>
      </c>
      <c r="C158" t="s">
        <v>6115</v>
      </c>
      <c r="D158" s="8" t="s">
        <v>6116</v>
      </c>
    </row>
    <row r="159" spans="1:4" x14ac:dyDescent="0.35">
      <c r="A159" t="s">
        <v>349</v>
      </c>
      <c r="B159" s="8" t="s">
        <v>350</v>
      </c>
      <c r="C159" t="s">
        <v>6125</v>
      </c>
      <c r="D159" s="8" t="s">
        <v>6126</v>
      </c>
    </row>
    <row r="160" spans="1:4" x14ac:dyDescent="0.35">
      <c r="A160" t="s">
        <v>349</v>
      </c>
      <c r="B160" s="8" t="s">
        <v>350</v>
      </c>
      <c r="C160" t="s">
        <v>6119</v>
      </c>
      <c r="D160" s="8" t="s">
        <v>6120</v>
      </c>
    </row>
    <row r="161" spans="1:4" x14ac:dyDescent="0.35">
      <c r="A161" t="s">
        <v>351</v>
      </c>
      <c r="B161" s="8" t="s">
        <v>352</v>
      </c>
      <c r="C161" t="s">
        <v>6117</v>
      </c>
      <c r="D161" s="8" t="s">
        <v>6118</v>
      </c>
    </row>
    <row r="162" spans="1:4" x14ac:dyDescent="0.35">
      <c r="A162" t="s">
        <v>351</v>
      </c>
      <c r="B162" s="8" t="s">
        <v>352</v>
      </c>
      <c r="C162" t="s">
        <v>6107</v>
      </c>
      <c r="D162" s="8" t="s">
        <v>6108</v>
      </c>
    </row>
    <row r="163" spans="1:4" x14ac:dyDescent="0.35">
      <c r="A163" t="s">
        <v>351</v>
      </c>
      <c r="B163" s="8" t="s">
        <v>352</v>
      </c>
      <c r="C163" t="s">
        <v>6113</v>
      </c>
      <c r="D163" s="8" t="s">
        <v>6114</v>
      </c>
    </row>
    <row r="164" spans="1:4" x14ac:dyDescent="0.35">
      <c r="A164" t="s">
        <v>351</v>
      </c>
      <c r="B164" s="8" t="s">
        <v>352</v>
      </c>
      <c r="C164" t="s">
        <v>6115</v>
      </c>
      <c r="D164" s="8" t="s">
        <v>6116</v>
      </c>
    </row>
    <row r="165" spans="1:4" x14ac:dyDescent="0.35">
      <c r="A165" t="s">
        <v>351</v>
      </c>
      <c r="B165" s="8" t="s">
        <v>352</v>
      </c>
      <c r="C165" t="s">
        <v>6125</v>
      </c>
      <c r="D165" s="8" t="s">
        <v>6126</v>
      </c>
    </row>
    <row r="166" spans="1:4" x14ac:dyDescent="0.35">
      <c r="A166" t="s">
        <v>351</v>
      </c>
      <c r="B166" s="8" t="s">
        <v>352</v>
      </c>
      <c r="C166" t="s">
        <v>6119</v>
      </c>
      <c r="D166" s="8" t="s">
        <v>6120</v>
      </c>
    </row>
    <row r="167" spans="1:4" x14ac:dyDescent="0.35">
      <c r="A167" t="s">
        <v>353</v>
      </c>
      <c r="B167" s="8" t="s">
        <v>354</v>
      </c>
      <c r="C167" t="s">
        <v>6117</v>
      </c>
      <c r="D167" s="8" t="s">
        <v>6118</v>
      </c>
    </row>
    <row r="168" spans="1:4" x14ac:dyDescent="0.35">
      <c r="A168" t="s">
        <v>353</v>
      </c>
      <c r="B168" s="8" t="s">
        <v>354</v>
      </c>
      <c r="C168" t="s">
        <v>6107</v>
      </c>
      <c r="D168" s="8" t="s">
        <v>6108</v>
      </c>
    </row>
    <row r="169" spans="1:4" x14ac:dyDescent="0.35">
      <c r="A169" t="s">
        <v>353</v>
      </c>
      <c r="B169" s="8" t="s">
        <v>354</v>
      </c>
      <c r="C169" t="s">
        <v>6115</v>
      </c>
      <c r="D169" s="8" t="s">
        <v>6116</v>
      </c>
    </row>
    <row r="170" spans="1:4" x14ac:dyDescent="0.35">
      <c r="A170" t="s">
        <v>353</v>
      </c>
      <c r="B170" s="8" t="s">
        <v>354</v>
      </c>
      <c r="C170" t="s">
        <v>6125</v>
      </c>
      <c r="D170" s="8" t="s">
        <v>6126</v>
      </c>
    </row>
    <row r="171" spans="1:4" x14ac:dyDescent="0.35">
      <c r="A171" t="s">
        <v>353</v>
      </c>
      <c r="B171" s="8" t="s">
        <v>354</v>
      </c>
      <c r="C171" t="s">
        <v>6119</v>
      </c>
      <c r="D171" s="8" t="s">
        <v>6120</v>
      </c>
    </row>
    <row r="172" spans="1:4" x14ac:dyDescent="0.35">
      <c r="A172" t="s">
        <v>355</v>
      </c>
      <c r="B172" s="8" t="s">
        <v>356</v>
      </c>
      <c r="C172" t="s">
        <v>6109</v>
      </c>
      <c r="D172" s="8" t="s">
        <v>6110</v>
      </c>
    </row>
    <row r="173" spans="1:4" x14ac:dyDescent="0.35">
      <c r="A173" t="s">
        <v>355</v>
      </c>
      <c r="B173" s="8" t="s">
        <v>356</v>
      </c>
      <c r="C173" t="s">
        <v>6155</v>
      </c>
      <c r="D173" s="8" t="s">
        <v>6156</v>
      </c>
    </row>
    <row r="174" spans="1:4" x14ac:dyDescent="0.35">
      <c r="A174" t="s">
        <v>355</v>
      </c>
      <c r="B174" s="8" t="s">
        <v>356</v>
      </c>
      <c r="C174" t="s">
        <v>6115</v>
      </c>
      <c r="D174" s="8" t="s">
        <v>6116</v>
      </c>
    </row>
    <row r="175" spans="1:4" x14ac:dyDescent="0.35">
      <c r="A175" t="s">
        <v>357</v>
      </c>
      <c r="B175" s="8" t="s">
        <v>358</v>
      </c>
      <c r="C175" t="s">
        <v>6109</v>
      </c>
      <c r="D175" s="8" t="s">
        <v>6110</v>
      </c>
    </row>
    <row r="176" spans="1:4" x14ac:dyDescent="0.35">
      <c r="A176" t="s">
        <v>357</v>
      </c>
      <c r="B176" s="8" t="s">
        <v>358</v>
      </c>
      <c r="C176" t="s">
        <v>6155</v>
      </c>
      <c r="D176" s="8" t="s">
        <v>6156</v>
      </c>
    </row>
    <row r="177" spans="1:4" x14ac:dyDescent="0.35">
      <c r="A177" t="s">
        <v>6182</v>
      </c>
      <c r="B177" s="8" t="s">
        <v>359</v>
      </c>
      <c r="C177" t="s">
        <v>6109</v>
      </c>
      <c r="D177" s="8" t="s">
        <v>6110</v>
      </c>
    </row>
    <row r="178" spans="1:4" x14ac:dyDescent="0.35">
      <c r="A178" t="s">
        <v>6182</v>
      </c>
      <c r="B178" s="8" t="s">
        <v>359</v>
      </c>
      <c r="C178" t="s">
        <v>6155</v>
      </c>
      <c r="D178" s="8" t="s">
        <v>6156</v>
      </c>
    </row>
    <row r="179" spans="1:4" x14ac:dyDescent="0.35">
      <c r="A179" t="s">
        <v>6182</v>
      </c>
      <c r="B179" s="8" t="s">
        <v>359</v>
      </c>
      <c r="C179" t="s">
        <v>6183</v>
      </c>
      <c r="D179" s="8" t="s">
        <v>6184</v>
      </c>
    </row>
    <row r="180" spans="1:4" ht="29" x14ac:dyDescent="0.35">
      <c r="A180" t="s">
        <v>6182</v>
      </c>
      <c r="B180" s="8" t="s">
        <v>359</v>
      </c>
      <c r="C180" t="s">
        <v>6185</v>
      </c>
      <c r="D180" s="8" t="s">
        <v>6186</v>
      </c>
    </row>
    <row r="181" spans="1:4" x14ac:dyDescent="0.35">
      <c r="A181" t="s">
        <v>6187</v>
      </c>
      <c r="B181" s="8" t="s">
        <v>294</v>
      </c>
      <c r="C181" t="s">
        <v>6117</v>
      </c>
      <c r="D181" s="8" t="s">
        <v>6118</v>
      </c>
    </row>
    <row r="182" spans="1:4" x14ac:dyDescent="0.35">
      <c r="A182" t="s">
        <v>6187</v>
      </c>
      <c r="B182" s="8" t="s">
        <v>294</v>
      </c>
      <c r="C182" t="s">
        <v>6109</v>
      </c>
      <c r="D182" s="8" t="s">
        <v>6110</v>
      </c>
    </row>
    <row r="183" spans="1:4" x14ac:dyDescent="0.35">
      <c r="A183" t="s">
        <v>6187</v>
      </c>
      <c r="B183" s="8" t="s">
        <v>294</v>
      </c>
      <c r="C183" t="s">
        <v>6111</v>
      </c>
      <c r="D183" s="8" t="s">
        <v>6112</v>
      </c>
    </row>
    <row r="184" spans="1:4" x14ac:dyDescent="0.35">
      <c r="A184" t="s">
        <v>6187</v>
      </c>
      <c r="B184" s="8" t="s">
        <v>294</v>
      </c>
      <c r="C184" t="s">
        <v>6115</v>
      </c>
      <c r="D184" s="8" t="s">
        <v>6116</v>
      </c>
    </row>
    <row r="185" spans="1:4" x14ac:dyDescent="0.35">
      <c r="A185" t="s">
        <v>6187</v>
      </c>
      <c r="B185" s="8" t="s">
        <v>294</v>
      </c>
      <c r="C185" t="s">
        <v>6119</v>
      </c>
      <c r="D185" s="8" t="s">
        <v>6120</v>
      </c>
    </row>
    <row r="186" spans="1:4" ht="29" x14ac:dyDescent="0.35">
      <c r="A186" t="s">
        <v>6187</v>
      </c>
      <c r="B186" s="8" t="s">
        <v>294</v>
      </c>
      <c r="C186" t="s">
        <v>6185</v>
      </c>
      <c r="D186" s="8" t="s">
        <v>6186</v>
      </c>
    </row>
    <row r="187" spans="1:4" x14ac:dyDescent="0.35">
      <c r="A187" t="s">
        <v>6188</v>
      </c>
      <c r="B187" s="8" t="s">
        <v>360</v>
      </c>
      <c r="C187" t="s">
        <v>6109</v>
      </c>
      <c r="D187" s="8" t="s">
        <v>6110</v>
      </c>
    </row>
    <row r="188" spans="1:4" x14ac:dyDescent="0.35">
      <c r="A188" t="s">
        <v>6188</v>
      </c>
      <c r="B188" s="8" t="s">
        <v>360</v>
      </c>
      <c r="C188" t="s">
        <v>6155</v>
      </c>
      <c r="D188" s="8" t="s">
        <v>6156</v>
      </c>
    </row>
    <row r="189" spans="1:4" x14ac:dyDescent="0.35">
      <c r="A189" t="s">
        <v>6188</v>
      </c>
      <c r="B189" s="8" t="s">
        <v>360</v>
      </c>
      <c r="C189" t="s">
        <v>6183</v>
      </c>
      <c r="D189" s="8" t="s">
        <v>6184</v>
      </c>
    </row>
    <row r="190" spans="1:4" ht="29" x14ac:dyDescent="0.35">
      <c r="A190" t="s">
        <v>6188</v>
      </c>
      <c r="B190" s="8" t="s">
        <v>360</v>
      </c>
      <c r="C190" t="s">
        <v>6185</v>
      </c>
      <c r="D190" s="8" t="s">
        <v>6186</v>
      </c>
    </row>
    <row r="191" spans="1:4" x14ac:dyDescent="0.35">
      <c r="A191" t="s">
        <v>361</v>
      </c>
      <c r="B191" s="8" t="s">
        <v>362</v>
      </c>
      <c r="C191" t="s">
        <v>6109</v>
      </c>
      <c r="D191" s="8" t="s">
        <v>6110</v>
      </c>
    </row>
    <row r="192" spans="1:4" x14ac:dyDescent="0.35">
      <c r="A192" t="s">
        <v>361</v>
      </c>
      <c r="B192" s="8" t="s">
        <v>362</v>
      </c>
      <c r="C192" t="s">
        <v>6155</v>
      </c>
      <c r="D192" s="8" t="s">
        <v>6156</v>
      </c>
    </row>
    <row r="193" spans="1:4" x14ac:dyDescent="0.35">
      <c r="A193" t="s">
        <v>361</v>
      </c>
      <c r="B193" s="8" t="s">
        <v>362</v>
      </c>
      <c r="C193" t="s">
        <v>6115</v>
      </c>
      <c r="D193" s="8" t="s">
        <v>6116</v>
      </c>
    </row>
    <row r="194" spans="1:4" x14ac:dyDescent="0.35">
      <c r="A194" t="s">
        <v>363</v>
      </c>
      <c r="B194" s="8" t="s">
        <v>364</v>
      </c>
      <c r="C194" t="s">
        <v>6117</v>
      </c>
      <c r="D194" s="8" t="s">
        <v>6118</v>
      </c>
    </row>
    <row r="195" spans="1:4" x14ac:dyDescent="0.35">
      <c r="A195" t="s">
        <v>363</v>
      </c>
      <c r="B195" s="8" t="s">
        <v>364</v>
      </c>
      <c r="C195" t="s">
        <v>6111</v>
      </c>
      <c r="D195" s="8" t="s">
        <v>6112</v>
      </c>
    </row>
    <row r="196" spans="1:4" x14ac:dyDescent="0.35">
      <c r="A196" t="s">
        <v>363</v>
      </c>
      <c r="B196" s="8" t="s">
        <v>364</v>
      </c>
      <c r="C196" t="s">
        <v>6113</v>
      </c>
      <c r="D196" s="8" t="s">
        <v>6114</v>
      </c>
    </row>
    <row r="197" spans="1:4" x14ac:dyDescent="0.35">
      <c r="A197" t="s">
        <v>363</v>
      </c>
      <c r="B197" s="8" t="s">
        <v>364</v>
      </c>
      <c r="C197" t="s">
        <v>6115</v>
      </c>
      <c r="D197" s="8" t="s">
        <v>6116</v>
      </c>
    </row>
    <row r="198" spans="1:4" x14ac:dyDescent="0.35">
      <c r="A198" t="s">
        <v>363</v>
      </c>
      <c r="B198" s="8" t="s">
        <v>364</v>
      </c>
      <c r="C198" t="s">
        <v>6125</v>
      </c>
      <c r="D198" s="8" t="s">
        <v>6126</v>
      </c>
    </row>
    <row r="199" spans="1:4" x14ac:dyDescent="0.35">
      <c r="A199" t="s">
        <v>363</v>
      </c>
      <c r="B199" s="8" t="s">
        <v>364</v>
      </c>
      <c r="C199" t="s">
        <v>6119</v>
      </c>
      <c r="D199" s="8" t="s">
        <v>6120</v>
      </c>
    </row>
    <row r="200" spans="1:4" x14ac:dyDescent="0.35">
      <c r="A200" t="s">
        <v>365</v>
      </c>
      <c r="B200" s="8" t="s">
        <v>366</v>
      </c>
      <c r="C200" t="s">
        <v>6117</v>
      </c>
      <c r="D200" s="8" t="s">
        <v>6118</v>
      </c>
    </row>
    <row r="201" spans="1:4" x14ac:dyDescent="0.35">
      <c r="A201" t="s">
        <v>365</v>
      </c>
      <c r="B201" s="8" t="s">
        <v>366</v>
      </c>
      <c r="C201" t="s">
        <v>6111</v>
      </c>
      <c r="D201" s="8" t="s">
        <v>6112</v>
      </c>
    </row>
    <row r="202" spans="1:4" x14ac:dyDescent="0.35">
      <c r="A202" t="s">
        <v>365</v>
      </c>
      <c r="B202" s="8" t="s">
        <v>366</v>
      </c>
      <c r="C202" t="s">
        <v>6113</v>
      </c>
      <c r="D202" s="8" t="s">
        <v>6114</v>
      </c>
    </row>
    <row r="203" spans="1:4" x14ac:dyDescent="0.35">
      <c r="A203" t="s">
        <v>365</v>
      </c>
      <c r="B203" s="8" t="s">
        <v>366</v>
      </c>
      <c r="C203" t="s">
        <v>6115</v>
      </c>
      <c r="D203" s="8" t="s">
        <v>6116</v>
      </c>
    </row>
    <row r="204" spans="1:4" x14ac:dyDescent="0.35">
      <c r="A204" t="s">
        <v>365</v>
      </c>
      <c r="B204" s="8" t="s">
        <v>366</v>
      </c>
      <c r="C204" t="s">
        <v>6125</v>
      </c>
      <c r="D204" s="8" t="s">
        <v>6126</v>
      </c>
    </row>
    <row r="205" spans="1:4" x14ac:dyDescent="0.35">
      <c r="A205" t="s">
        <v>365</v>
      </c>
      <c r="B205" s="8" t="s">
        <v>366</v>
      </c>
      <c r="C205" t="s">
        <v>6119</v>
      </c>
      <c r="D205" s="8" t="s">
        <v>6120</v>
      </c>
    </row>
    <row r="206" spans="1:4" x14ac:dyDescent="0.35">
      <c r="A206" t="s">
        <v>367</v>
      </c>
      <c r="B206" s="8" t="s">
        <v>368</v>
      </c>
      <c r="C206" t="s">
        <v>6117</v>
      </c>
      <c r="D206" s="8" t="s">
        <v>6118</v>
      </c>
    </row>
    <row r="207" spans="1:4" x14ac:dyDescent="0.35">
      <c r="A207" t="s">
        <v>367</v>
      </c>
      <c r="B207" s="8" t="s">
        <v>368</v>
      </c>
      <c r="C207" t="s">
        <v>6111</v>
      </c>
      <c r="D207" s="8" t="s">
        <v>6112</v>
      </c>
    </row>
    <row r="208" spans="1:4" x14ac:dyDescent="0.35">
      <c r="A208" t="s">
        <v>367</v>
      </c>
      <c r="B208" s="8" t="s">
        <v>368</v>
      </c>
      <c r="C208" t="s">
        <v>6115</v>
      </c>
      <c r="D208" s="8" t="s">
        <v>6116</v>
      </c>
    </row>
    <row r="209" spans="1:4" x14ac:dyDescent="0.35">
      <c r="A209" t="s">
        <v>367</v>
      </c>
      <c r="B209" s="8" t="s">
        <v>368</v>
      </c>
      <c r="C209" t="s">
        <v>6125</v>
      </c>
      <c r="D209" s="8" t="s">
        <v>6126</v>
      </c>
    </row>
    <row r="210" spans="1:4" x14ac:dyDescent="0.35">
      <c r="A210" t="s">
        <v>369</v>
      </c>
      <c r="B210" s="8" t="s">
        <v>370</v>
      </c>
      <c r="C210" t="s">
        <v>6111</v>
      </c>
      <c r="D210" s="8" t="s">
        <v>6112</v>
      </c>
    </row>
    <row r="211" spans="1:4" x14ac:dyDescent="0.35">
      <c r="A211" t="s">
        <v>369</v>
      </c>
      <c r="B211" s="8" t="s">
        <v>370</v>
      </c>
      <c r="C211" t="s">
        <v>6115</v>
      </c>
      <c r="D211" s="8" t="s">
        <v>6116</v>
      </c>
    </row>
    <row r="212" spans="1:4" x14ac:dyDescent="0.35">
      <c r="A212" t="s">
        <v>371</v>
      </c>
      <c r="B212" s="8" t="s">
        <v>372</v>
      </c>
      <c r="C212" t="s">
        <v>6117</v>
      </c>
      <c r="D212" s="8" t="s">
        <v>6118</v>
      </c>
    </row>
    <row r="213" spans="1:4" x14ac:dyDescent="0.35">
      <c r="A213" t="s">
        <v>371</v>
      </c>
      <c r="B213" s="8" t="s">
        <v>372</v>
      </c>
      <c r="C213" t="s">
        <v>6111</v>
      </c>
      <c r="D213" s="8" t="s">
        <v>6112</v>
      </c>
    </row>
    <row r="214" spans="1:4" x14ac:dyDescent="0.35">
      <c r="A214" t="s">
        <v>371</v>
      </c>
      <c r="B214" s="8" t="s">
        <v>372</v>
      </c>
      <c r="C214" t="s">
        <v>6115</v>
      </c>
      <c r="D214" s="8" t="s">
        <v>6116</v>
      </c>
    </row>
    <row r="215" spans="1:4" x14ac:dyDescent="0.35">
      <c r="A215" t="s">
        <v>371</v>
      </c>
      <c r="B215" s="8" t="s">
        <v>372</v>
      </c>
      <c r="C215" t="s">
        <v>6125</v>
      </c>
      <c r="D215" s="8" t="s">
        <v>6126</v>
      </c>
    </row>
    <row r="216" spans="1:4" x14ac:dyDescent="0.35">
      <c r="A216" t="s">
        <v>373</v>
      </c>
      <c r="B216" s="8" t="s">
        <v>374</v>
      </c>
      <c r="C216" t="s">
        <v>6117</v>
      </c>
      <c r="D216" s="8" t="s">
        <v>6118</v>
      </c>
    </row>
    <row r="217" spans="1:4" x14ac:dyDescent="0.35">
      <c r="A217" t="s">
        <v>373</v>
      </c>
      <c r="B217" s="8" t="s">
        <v>374</v>
      </c>
      <c r="C217" t="s">
        <v>6107</v>
      </c>
      <c r="D217" s="8" t="s">
        <v>6108</v>
      </c>
    </row>
    <row r="218" spans="1:4" x14ac:dyDescent="0.35">
      <c r="A218" t="s">
        <v>373</v>
      </c>
      <c r="B218" s="8" t="s">
        <v>374</v>
      </c>
      <c r="C218" t="s">
        <v>6111</v>
      </c>
      <c r="D218" s="8" t="s">
        <v>6112</v>
      </c>
    </row>
    <row r="219" spans="1:4" x14ac:dyDescent="0.35">
      <c r="A219" t="s">
        <v>373</v>
      </c>
      <c r="B219" s="8" t="s">
        <v>374</v>
      </c>
      <c r="C219" t="s">
        <v>6148</v>
      </c>
      <c r="D219" s="8" t="s">
        <v>6149</v>
      </c>
    </row>
    <row r="220" spans="1:4" x14ac:dyDescent="0.35">
      <c r="A220" t="s">
        <v>373</v>
      </c>
      <c r="B220" s="8" t="s">
        <v>374</v>
      </c>
      <c r="C220" t="s">
        <v>6115</v>
      </c>
      <c r="D220" s="8" t="s">
        <v>6116</v>
      </c>
    </row>
    <row r="221" spans="1:4" x14ac:dyDescent="0.35">
      <c r="A221" t="s">
        <v>373</v>
      </c>
      <c r="B221" s="8" t="s">
        <v>374</v>
      </c>
      <c r="C221" t="s">
        <v>6150</v>
      </c>
      <c r="D221" s="8" t="s">
        <v>6151</v>
      </c>
    </row>
    <row r="222" spans="1:4" x14ac:dyDescent="0.35">
      <c r="A222" t="s">
        <v>373</v>
      </c>
      <c r="B222" s="8" t="s">
        <v>374</v>
      </c>
      <c r="C222" t="s">
        <v>6125</v>
      </c>
      <c r="D222" s="8" t="s">
        <v>6126</v>
      </c>
    </row>
    <row r="223" spans="1:4" x14ac:dyDescent="0.35">
      <c r="A223" t="s">
        <v>375</v>
      </c>
      <c r="B223" s="8" t="s">
        <v>376</v>
      </c>
      <c r="C223" t="s">
        <v>6111</v>
      </c>
      <c r="D223" s="8" t="s">
        <v>6112</v>
      </c>
    </row>
    <row r="224" spans="1:4" x14ac:dyDescent="0.35">
      <c r="A224" t="s">
        <v>375</v>
      </c>
      <c r="B224" s="8" t="s">
        <v>376</v>
      </c>
      <c r="C224" t="s">
        <v>6115</v>
      </c>
      <c r="D224" s="8" t="s">
        <v>6116</v>
      </c>
    </row>
    <row r="225" spans="1:4" x14ac:dyDescent="0.35">
      <c r="A225" t="s">
        <v>377</v>
      </c>
      <c r="B225" s="8" t="s">
        <v>378</v>
      </c>
      <c r="C225" t="s">
        <v>6111</v>
      </c>
      <c r="D225" s="8" t="s">
        <v>6112</v>
      </c>
    </row>
    <row r="226" spans="1:4" x14ac:dyDescent="0.35">
      <c r="A226" t="s">
        <v>377</v>
      </c>
      <c r="B226" s="8" t="s">
        <v>378</v>
      </c>
      <c r="C226" t="s">
        <v>6113</v>
      </c>
      <c r="D226" s="8" t="s">
        <v>6114</v>
      </c>
    </row>
    <row r="227" spans="1:4" x14ac:dyDescent="0.35">
      <c r="A227" t="s">
        <v>377</v>
      </c>
      <c r="B227" s="8" t="s">
        <v>378</v>
      </c>
      <c r="C227" t="s">
        <v>6115</v>
      </c>
      <c r="D227" s="8" t="s">
        <v>6116</v>
      </c>
    </row>
    <row r="228" spans="1:4" x14ac:dyDescent="0.35">
      <c r="A228" t="s">
        <v>379</v>
      </c>
      <c r="B228" s="8" t="s">
        <v>380</v>
      </c>
      <c r="C228" t="s">
        <v>6111</v>
      </c>
      <c r="D228" s="8" t="s">
        <v>6112</v>
      </c>
    </row>
    <row r="229" spans="1:4" x14ac:dyDescent="0.35">
      <c r="A229" t="s">
        <v>379</v>
      </c>
      <c r="B229" s="8" t="s">
        <v>380</v>
      </c>
      <c r="C229" t="s">
        <v>6115</v>
      </c>
      <c r="D229" s="8" t="s">
        <v>6116</v>
      </c>
    </row>
    <row r="230" spans="1:4" x14ac:dyDescent="0.35">
      <c r="A230" t="s">
        <v>381</v>
      </c>
      <c r="B230" s="8" t="s">
        <v>382</v>
      </c>
      <c r="C230" t="s">
        <v>6111</v>
      </c>
      <c r="D230" s="8" t="s">
        <v>6112</v>
      </c>
    </row>
    <row r="231" spans="1:4" x14ac:dyDescent="0.35">
      <c r="A231" t="s">
        <v>381</v>
      </c>
      <c r="B231" s="8" t="s">
        <v>382</v>
      </c>
      <c r="C231" t="s">
        <v>6189</v>
      </c>
      <c r="D231" s="8" t="s">
        <v>6190</v>
      </c>
    </row>
    <row r="232" spans="1:4" x14ac:dyDescent="0.35">
      <c r="A232" t="s">
        <v>381</v>
      </c>
      <c r="B232" s="8" t="s">
        <v>382</v>
      </c>
      <c r="C232" t="s">
        <v>6115</v>
      </c>
      <c r="D232" s="8" t="s">
        <v>6116</v>
      </c>
    </row>
    <row r="233" spans="1:4" x14ac:dyDescent="0.35">
      <c r="A233" t="s">
        <v>383</v>
      </c>
      <c r="B233" s="8" t="s">
        <v>384</v>
      </c>
      <c r="C233" t="s">
        <v>6111</v>
      </c>
      <c r="D233" s="8" t="s">
        <v>6112</v>
      </c>
    </row>
    <row r="234" spans="1:4" x14ac:dyDescent="0.35">
      <c r="A234" t="s">
        <v>383</v>
      </c>
      <c r="B234" s="8" t="s">
        <v>384</v>
      </c>
      <c r="C234" t="s">
        <v>6115</v>
      </c>
      <c r="D234" s="8" t="s">
        <v>6116</v>
      </c>
    </row>
    <row r="235" spans="1:4" x14ac:dyDescent="0.35">
      <c r="A235" t="s">
        <v>6191</v>
      </c>
      <c r="B235" s="8" t="s">
        <v>3163</v>
      </c>
      <c r="C235" t="s">
        <v>6163</v>
      </c>
      <c r="D235" s="8" t="s">
        <v>6164</v>
      </c>
    </row>
    <row r="236" spans="1:4" x14ac:dyDescent="0.35">
      <c r="A236" t="s">
        <v>6192</v>
      </c>
      <c r="B236" s="8" t="s">
        <v>385</v>
      </c>
      <c r="C236" t="s">
        <v>6113</v>
      </c>
      <c r="D236" s="8" t="s">
        <v>6114</v>
      </c>
    </row>
    <row r="237" spans="1:4" x14ac:dyDescent="0.35">
      <c r="A237" t="s">
        <v>6193</v>
      </c>
      <c r="B237" s="8" t="s">
        <v>3308</v>
      </c>
      <c r="C237" t="s">
        <v>6194</v>
      </c>
      <c r="D237" s="8" t="s">
        <v>6195</v>
      </c>
    </row>
    <row r="238" spans="1:4" x14ac:dyDescent="0.35">
      <c r="A238" t="s">
        <v>6193</v>
      </c>
      <c r="B238" s="8" t="s">
        <v>3308</v>
      </c>
      <c r="C238" t="s">
        <v>6196</v>
      </c>
      <c r="D238" s="8" t="s">
        <v>6197</v>
      </c>
    </row>
    <row r="239" spans="1:4" x14ac:dyDescent="0.35">
      <c r="A239" t="s">
        <v>6198</v>
      </c>
      <c r="B239" s="8" t="s">
        <v>3310</v>
      </c>
      <c r="C239" t="s">
        <v>6194</v>
      </c>
      <c r="D239" s="8" t="s">
        <v>6195</v>
      </c>
    </row>
    <row r="240" spans="1:4" x14ac:dyDescent="0.35">
      <c r="A240" t="s">
        <v>6198</v>
      </c>
      <c r="B240" s="8" t="s">
        <v>3310</v>
      </c>
      <c r="C240" t="s">
        <v>6196</v>
      </c>
      <c r="D240" s="8" t="s">
        <v>6197</v>
      </c>
    </row>
    <row r="241" spans="1:4" x14ac:dyDescent="0.35">
      <c r="A241" t="s">
        <v>6199</v>
      </c>
      <c r="B241" s="8" t="s">
        <v>3326</v>
      </c>
      <c r="C241" t="s">
        <v>6194</v>
      </c>
      <c r="D241" s="8" t="s">
        <v>6195</v>
      </c>
    </row>
    <row r="242" spans="1:4" x14ac:dyDescent="0.35">
      <c r="A242" t="s">
        <v>6199</v>
      </c>
      <c r="B242" s="8" t="s">
        <v>3326</v>
      </c>
      <c r="C242" t="s">
        <v>6196</v>
      </c>
      <c r="D242" s="8" t="s">
        <v>6197</v>
      </c>
    </row>
    <row r="243" spans="1:4" x14ac:dyDescent="0.35">
      <c r="A243" t="s">
        <v>6200</v>
      </c>
      <c r="B243" s="8" t="s">
        <v>3322</v>
      </c>
      <c r="C243" t="s">
        <v>6107</v>
      </c>
      <c r="D243" s="8" t="s">
        <v>6108</v>
      </c>
    </row>
    <row r="244" spans="1:4" x14ac:dyDescent="0.35">
      <c r="A244" t="s">
        <v>6200</v>
      </c>
      <c r="B244" s="8" t="s">
        <v>3322</v>
      </c>
      <c r="C244" t="s">
        <v>6194</v>
      </c>
      <c r="D244" s="8" t="s">
        <v>6195</v>
      </c>
    </row>
    <row r="245" spans="1:4" x14ac:dyDescent="0.35">
      <c r="A245" t="s">
        <v>6200</v>
      </c>
      <c r="B245" s="8" t="s">
        <v>3322</v>
      </c>
      <c r="C245" t="s">
        <v>6196</v>
      </c>
      <c r="D245" s="8" t="s">
        <v>6197</v>
      </c>
    </row>
    <row r="246" spans="1:4" x14ac:dyDescent="0.35">
      <c r="A246" t="s">
        <v>6201</v>
      </c>
      <c r="B246" s="8" t="s">
        <v>3324</v>
      </c>
      <c r="C246" t="s">
        <v>6194</v>
      </c>
      <c r="D246" s="8" t="s">
        <v>6195</v>
      </c>
    </row>
    <row r="247" spans="1:4" x14ac:dyDescent="0.35">
      <c r="A247" t="s">
        <v>6201</v>
      </c>
      <c r="B247" s="8" t="s">
        <v>3324</v>
      </c>
      <c r="C247" t="s">
        <v>6196</v>
      </c>
      <c r="D247" s="8" t="s">
        <v>6197</v>
      </c>
    </row>
    <row r="248" spans="1:4" x14ac:dyDescent="0.35">
      <c r="A248" t="s">
        <v>6202</v>
      </c>
      <c r="B248" s="8" t="s">
        <v>3312</v>
      </c>
      <c r="C248" t="s">
        <v>6107</v>
      </c>
      <c r="D248" s="8" t="s">
        <v>6108</v>
      </c>
    </row>
    <row r="249" spans="1:4" x14ac:dyDescent="0.35">
      <c r="A249" t="s">
        <v>6202</v>
      </c>
      <c r="B249" s="8" t="s">
        <v>3312</v>
      </c>
      <c r="C249" t="s">
        <v>6194</v>
      </c>
      <c r="D249" s="8" t="s">
        <v>6195</v>
      </c>
    </row>
    <row r="250" spans="1:4" x14ac:dyDescent="0.35">
      <c r="A250" t="s">
        <v>6202</v>
      </c>
      <c r="B250" s="8" t="s">
        <v>3312</v>
      </c>
      <c r="C250" t="s">
        <v>6196</v>
      </c>
      <c r="D250" s="8" t="s">
        <v>6197</v>
      </c>
    </row>
    <row r="251" spans="1:4" x14ac:dyDescent="0.35">
      <c r="A251" t="s">
        <v>6203</v>
      </c>
      <c r="B251" s="8" t="s">
        <v>3330</v>
      </c>
      <c r="C251" t="s">
        <v>6107</v>
      </c>
      <c r="D251" s="8" t="s">
        <v>6108</v>
      </c>
    </row>
    <row r="252" spans="1:4" x14ac:dyDescent="0.35">
      <c r="A252" t="s">
        <v>6203</v>
      </c>
      <c r="B252" s="8" t="s">
        <v>3330</v>
      </c>
      <c r="C252" t="s">
        <v>6194</v>
      </c>
      <c r="D252" s="8" t="s">
        <v>6195</v>
      </c>
    </row>
    <row r="253" spans="1:4" x14ac:dyDescent="0.35">
      <c r="A253" t="s">
        <v>6203</v>
      </c>
      <c r="B253" s="8" t="s">
        <v>3330</v>
      </c>
      <c r="C253" t="s">
        <v>6196</v>
      </c>
      <c r="D253" s="8" t="s">
        <v>6197</v>
      </c>
    </row>
    <row r="254" spans="1:4" x14ac:dyDescent="0.35">
      <c r="A254" t="s">
        <v>6204</v>
      </c>
      <c r="B254" s="8" t="s">
        <v>3316</v>
      </c>
      <c r="C254" t="s">
        <v>6107</v>
      </c>
      <c r="D254" s="8" t="s">
        <v>6108</v>
      </c>
    </row>
    <row r="255" spans="1:4" x14ac:dyDescent="0.35">
      <c r="A255" t="s">
        <v>6204</v>
      </c>
      <c r="B255" s="8" t="s">
        <v>3316</v>
      </c>
      <c r="C255" t="s">
        <v>6194</v>
      </c>
      <c r="D255" s="8" t="s">
        <v>6195</v>
      </c>
    </row>
    <row r="256" spans="1:4" x14ac:dyDescent="0.35">
      <c r="A256" t="s">
        <v>6204</v>
      </c>
      <c r="B256" s="8" t="s">
        <v>3316</v>
      </c>
      <c r="C256" t="s">
        <v>6196</v>
      </c>
      <c r="D256" s="8" t="s">
        <v>6197</v>
      </c>
    </row>
    <row r="257" spans="1:4" x14ac:dyDescent="0.35">
      <c r="A257" t="s">
        <v>6205</v>
      </c>
      <c r="B257" s="8" t="s">
        <v>3318</v>
      </c>
      <c r="C257" t="s">
        <v>6107</v>
      </c>
      <c r="D257" s="8" t="s">
        <v>6108</v>
      </c>
    </row>
    <row r="258" spans="1:4" x14ac:dyDescent="0.35">
      <c r="A258" t="s">
        <v>6205</v>
      </c>
      <c r="B258" s="8" t="s">
        <v>3318</v>
      </c>
      <c r="C258" t="s">
        <v>6194</v>
      </c>
      <c r="D258" s="8" t="s">
        <v>6195</v>
      </c>
    </row>
    <row r="259" spans="1:4" x14ac:dyDescent="0.35">
      <c r="A259" t="s">
        <v>6205</v>
      </c>
      <c r="B259" s="8" t="s">
        <v>3318</v>
      </c>
      <c r="C259" t="s">
        <v>6196</v>
      </c>
      <c r="D259" s="8" t="s">
        <v>6197</v>
      </c>
    </row>
    <row r="260" spans="1:4" x14ac:dyDescent="0.35">
      <c r="A260" t="s">
        <v>6206</v>
      </c>
      <c r="B260" s="8" t="s">
        <v>3314</v>
      </c>
      <c r="C260" t="s">
        <v>6107</v>
      </c>
      <c r="D260" s="8" t="s">
        <v>6108</v>
      </c>
    </row>
    <row r="261" spans="1:4" x14ac:dyDescent="0.35">
      <c r="A261" t="s">
        <v>6206</v>
      </c>
      <c r="B261" s="8" t="s">
        <v>3314</v>
      </c>
      <c r="C261" t="s">
        <v>6194</v>
      </c>
      <c r="D261" s="8" t="s">
        <v>6195</v>
      </c>
    </row>
    <row r="262" spans="1:4" x14ac:dyDescent="0.35">
      <c r="A262" t="s">
        <v>6206</v>
      </c>
      <c r="B262" s="8" t="s">
        <v>3314</v>
      </c>
      <c r="C262" t="s">
        <v>6196</v>
      </c>
      <c r="D262" s="8" t="s">
        <v>6197</v>
      </c>
    </row>
    <row r="263" spans="1:4" x14ac:dyDescent="0.35">
      <c r="A263" t="s">
        <v>6207</v>
      </c>
      <c r="B263" s="8" t="s">
        <v>3328</v>
      </c>
      <c r="C263" t="s">
        <v>6107</v>
      </c>
      <c r="D263" s="8" t="s">
        <v>6108</v>
      </c>
    </row>
    <row r="264" spans="1:4" x14ac:dyDescent="0.35">
      <c r="A264" t="s">
        <v>6207</v>
      </c>
      <c r="B264" s="8" t="s">
        <v>3328</v>
      </c>
      <c r="C264" t="s">
        <v>6194</v>
      </c>
      <c r="D264" s="8" t="s">
        <v>6195</v>
      </c>
    </row>
    <row r="265" spans="1:4" x14ac:dyDescent="0.35">
      <c r="A265" t="s">
        <v>6207</v>
      </c>
      <c r="B265" s="8" t="s">
        <v>3328</v>
      </c>
      <c r="C265" t="s">
        <v>6196</v>
      </c>
      <c r="D265" s="8" t="s">
        <v>6197</v>
      </c>
    </row>
    <row r="266" spans="1:4" x14ac:dyDescent="0.35">
      <c r="A266" t="s">
        <v>6208</v>
      </c>
      <c r="B266" s="8" t="s">
        <v>3320</v>
      </c>
      <c r="C266" t="s">
        <v>6107</v>
      </c>
      <c r="D266" s="8" t="s">
        <v>6108</v>
      </c>
    </row>
    <row r="267" spans="1:4" x14ac:dyDescent="0.35">
      <c r="A267" t="s">
        <v>6208</v>
      </c>
      <c r="B267" s="8" t="s">
        <v>3320</v>
      </c>
      <c r="C267" t="s">
        <v>6194</v>
      </c>
      <c r="D267" s="8" t="s">
        <v>6195</v>
      </c>
    </row>
    <row r="268" spans="1:4" x14ac:dyDescent="0.35">
      <c r="A268" t="s">
        <v>6208</v>
      </c>
      <c r="B268" s="8" t="s">
        <v>3320</v>
      </c>
      <c r="C268" t="s">
        <v>6196</v>
      </c>
      <c r="D268" s="8" t="s">
        <v>6197</v>
      </c>
    </row>
    <row r="269" spans="1:4" x14ac:dyDescent="0.35">
      <c r="A269" t="s">
        <v>6209</v>
      </c>
      <c r="B269" s="8" t="s">
        <v>3332</v>
      </c>
      <c r="C269" t="s">
        <v>6107</v>
      </c>
      <c r="D269" s="8" t="s">
        <v>6108</v>
      </c>
    </row>
    <row r="270" spans="1:4" x14ac:dyDescent="0.35">
      <c r="A270" t="s">
        <v>6209</v>
      </c>
      <c r="B270" s="8" t="s">
        <v>3332</v>
      </c>
      <c r="C270" t="s">
        <v>6194</v>
      </c>
      <c r="D270" s="8" t="s">
        <v>6195</v>
      </c>
    </row>
    <row r="271" spans="1:4" x14ac:dyDescent="0.35">
      <c r="A271" t="s">
        <v>6209</v>
      </c>
      <c r="B271" s="8" t="s">
        <v>3332</v>
      </c>
      <c r="C271" t="s">
        <v>6196</v>
      </c>
      <c r="D271" s="8" t="s">
        <v>6197</v>
      </c>
    </row>
    <row r="272" spans="1:4" x14ac:dyDescent="0.35">
      <c r="A272" t="s">
        <v>6210</v>
      </c>
      <c r="B272" s="8" t="s">
        <v>386</v>
      </c>
      <c r="C272" t="s">
        <v>6211</v>
      </c>
      <c r="D272" s="8" t="s">
        <v>6212</v>
      </c>
    </row>
    <row r="273" spans="1:4" x14ac:dyDescent="0.35">
      <c r="A273" t="s">
        <v>6210</v>
      </c>
      <c r="B273" s="8" t="s">
        <v>386</v>
      </c>
      <c r="C273" t="s">
        <v>6133</v>
      </c>
      <c r="D273" s="8" t="s">
        <v>6134</v>
      </c>
    </row>
    <row r="274" spans="1:4" x14ac:dyDescent="0.35">
      <c r="A274" t="s">
        <v>6210</v>
      </c>
      <c r="B274" s="8" t="s">
        <v>386</v>
      </c>
      <c r="C274" t="s">
        <v>6213</v>
      </c>
      <c r="D274" s="8" t="s">
        <v>6214</v>
      </c>
    </row>
    <row r="275" spans="1:4" x14ac:dyDescent="0.35">
      <c r="A275" t="s">
        <v>6215</v>
      </c>
      <c r="B275" s="8" t="s">
        <v>387</v>
      </c>
      <c r="C275" t="s">
        <v>6216</v>
      </c>
      <c r="D275" s="8" t="s">
        <v>6217</v>
      </c>
    </row>
    <row r="276" spans="1:4" x14ac:dyDescent="0.35">
      <c r="A276" t="s">
        <v>6215</v>
      </c>
      <c r="B276" s="8" t="s">
        <v>387</v>
      </c>
      <c r="C276" t="s">
        <v>6218</v>
      </c>
      <c r="D276" s="8" t="s">
        <v>6219</v>
      </c>
    </row>
    <row r="277" spans="1:4" x14ac:dyDescent="0.35">
      <c r="A277" t="s">
        <v>6215</v>
      </c>
      <c r="B277" s="8" t="s">
        <v>387</v>
      </c>
      <c r="C277" t="s">
        <v>6211</v>
      </c>
      <c r="D277" s="8" t="s">
        <v>6212</v>
      </c>
    </row>
    <row r="278" spans="1:4" x14ac:dyDescent="0.35">
      <c r="A278" t="s">
        <v>6215</v>
      </c>
      <c r="B278" s="8" t="s">
        <v>387</v>
      </c>
      <c r="C278" t="s">
        <v>6133</v>
      </c>
      <c r="D278" s="8" t="s">
        <v>6134</v>
      </c>
    </row>
    <row r="279" spans="1:4" x14ac:dyDescent="0.35">
      <c r="A279" t="s">
        <v>6220</v>
      </c>
      <c r="B279" s="8" t="s">
        <v>388</v>
      </c>
      <c r="C279" t="s">
        <v>6133</v>
      </c>
      <c r="D279" s="8" t="s">
        <v>6134</v>
      </c>
    </row>
    <row r="280" spans="1:4" x14ac:dyDescent="0.35">
      <c r="A280" t="s">
        <v>6220</v>
      </c>
      <c r="B280" s="8" t="s">
        <v>388</v>
      </c>
      <c r="C280" t="s">
        <v>6221</v>
      </c>
      <c r="D280" s="8" t="s">
        <v>6222</v>
      </c>
    </row>
    <row r="281" spans="1:4" x14ac:dyDescent="0.35">
      <c r="A281" t="s">
        <v>6223</v>
      </c>
      <c r="B281" s="8" t="s">
        <v>389</v>
      </c>
      <c r="C281" t="s">
        <v>6133</v>
      </c>
      <c r="D281" s="8" t="s">
        <v>6134</v>
      </c>
    </row>
    <row r="282" spans="1:4" x14ac:dyDescent="0.35">
      <c r="A282" t="s">
        <v>6223</v>
      </c>
      <c r="B282" s="8" t="s">
        <v>389</v>
      </c>
      <c r="C282" t="s">
        <v>6213</v>
      </c>
      <c r="D282" s="8" t="s">
        <v>6214</v>
      </c>
    </row>
    <row r="283" spans="1:4" x14ac:dyDescent="0.35">
      <c r="A283" t="s">
        <v>6224</v>
      </c>
      <c r="B283" s="8" t="s">
        <v>390</v>
      </c>
      <c r="C283" t="s">
        <v>6163</v>
      </c>
      <c r="D283" s="8" t="s">
        <v>6164</v>
      </c>
    </row>
    <row r="284" spans="1:4" x14ac:dyDescent="0.35">
      <c r="A284" t="s">
        <v>6225</v>
      </c>
      <c r="B284" s="8" t="s">
        <v>3064</v>
      </c>
      <c r="C284" t="s">
        <v>6194</v>
      </c>
      <c r="D284" s="8" t="s">
        <v>6195</v>
      </c>
    </row>
    <row r="285" spans="1:4" x14ac:dyDescent="0.35">
      <c r="A285" t="s">
        <v>6225</v>
      </c>
      <c r="B285" s="8" t="s">
        <v>3064</v>
      </c>
      <c r="C285" t="s">
        <v>6226</v>
      </c>
      <c r="D285" s="8" t="s">
        <v>6227</v>
      </c>
    </row>
    <row r="286" spans="1:4" x14ac:dyDescent="0.35">
      <c r="A286" t="s">
        <v>6225</v>
      </c>
      <c r="B286" s="8" t="s">
        <v>3064</v>
      </c>
      <c r="C286" t="s">
        <v>6228</v>
      </c>
      <c r="D286" s="8" t="s">
        <v>6229</v>
      </c>
    </row>
    <row r="287" spans="1:4" x14ac:dyDescent="0.35">
      <c r="A287" t="s">
        <v>6230</v>
      </c>
      <c r="B287" s="8" t="s">
        <v>391</v>
      </c>
      <c r="C287" t="s">
        <v>6226</v>
      </c>
      <c r="D287" s="8" t="s">
        <v>6227</v>
      </c>
    </row>
    <row r="288" spans="1:4" x14ac:dyDescent="0.35">
      <c r="A288" t="s">
        <v>6230</v>
      </c>
      <c r="B288" s="8" t="s">
        <v>391</v>
      </c>
      <c r="C288" t="s">
        <v>6228</v>
      </c>
      <c r="D288" s="8" t="s">
        <v>6229</v>
      </c>
    </row>
    <row r="289" spans="1:4" x14ac:dyDescent="0.35">
      <c r="A289" t="s">
        <v>392</v>
      </c>
      <c r="B289" s="8" t="s">
        <v>394</v>
      </c>
      <c r="C289" t="s">
        <v>6163</v>
      </c>
      <c r="D289" s="8" t="s">
        <v>6164</v>
      </c>
    </row>
    <row r="290" spans="1:4" x14ac:dyDescent="0.35">
      <c r="A290" t="s">
        <v>395</v>
      </c>
      <c r="B290" s="8" t="s">
        <v>396</v>
      </c>
      <c r="C290" t="s">
        <v>6148</v>
      </c>
      <c r="D290" s="8" t="s">
        <v>6149</v>
      </c>
    </row>
    <row r="291" spans="1:4" x14ac:dyDescent="0.35">
      <c r="A291" t="s">
        <v>395</v>
      </c>
      <c r="B291" s="8" t="s">
        <v>396</v>
      </c>
      <c r="C291" t="s">
        <v>6231</v>
      </c>
      <c r="D291" s="8" t="s">
        <v>6232</v>
      </c>
    </row>
    <row r="292" spans="1:4" x14ac:dyDescent="0.35">
      <c r="A292" t="s">
        <v>395</v>
      </c>
      <c r="B292" s="8" t="s">
        <v>396</v>
      </c>
      <c r="C292" t="s">
        <v>6233</v>
      </c>
      <c r="D292" s="8" t="s">
        <v>6234</v>
      </c>
    </row>
    <row r="293" spans="1:4" x14ac:dyDescent="0.35">
      <c r="A293" t="s">
        <v>395</v>
      </c>
      <c r="B293" s="8" t="s">
        <v>396</v>
      </c>
      <c r="C293" t="s">
        <v>6150</v>
      </c>
      <c r="D293" s="8" t="s">
        <v>6151</v>
      </c>
    </row>
    <row r="294" spans="1:4" x14ac:dyDescent="0.35">
      <c r="A294" t="s">
        <v>397</v>
      </c>
      <c r="B294" s="8" t="s">
        <v>398</v>
      </c>
      <c r="C294" t="s">
        <v>6235</v>
      </c>
      <c r="D294" s="8" t="s">
        <v>6236</v>
      </c>
    </row>
    <row r="295" spans="1:4" x14ac:dyDescent="0.35">
      <c r="A295" t="s">
        <v>397</v>
      </c>
      <c r="B295" s="8" t="s">
        <v>398</v>
      </c>
      <c r="C295" t="s">
        <v>6237</v>
      </c>
      <c r="D295" s="8" t="s">
        <v>6238</v>
      </c>
    </row>
    <row r="296" spans="1:4" x14ac:dyDescent="0.35">
      <c r="A296" t="s">
        <v>397</v>
      </c>
      <c r="B296" s="8" t="s">
        <v>398</v>
      </c>
      <c r="C296" t="s">
        <v>6239</v>
      </c>
      <c r="D296" s="8" t="s">
        <v>6240</v>
      </c>
    </row>
    <row r="297" spans="1:4" x14ac:dyDescent="0.35">
      <c r="A297" t="s">
        <v>399</v>
      </c>
      <c r="B297" s="8" t="s">
        <v>400</v>
      </c>
      <c r="C297" t="s">
        <v>6235</v>
      </c>
      <c r="D297" s="8" t="s">
        <v>6236</v>
      </c>
    </row>
    <row r="298" spans="1:4" x14ac:dyDescent="0.35">
      <c r="A298" t="s">
        <v>399</v>
      </c>
      <c r="B298" s="8" t="s">
        <v>400</v>
      </c>
      <c r="C298" t="s">
        <v>6237</v>
      </c>
      <c r="D298" s="8" t="s">
        <v>6238</v>
      </c>
    </row>
    <row r="299" spans="1:4" x14ac:dyDescent="0.35">
      <c r="A299" t="s">
        <v>399</v>
      </c>
      <c r="B299" s="8" t="s">
        <v>400</v>
      </c>
      <c r="C299" t="s">
        <v>6241</v>
      </c>
      <c r="D299" s="8" t="s">
        <v>6242</v>
      </c>
    </row>
    <row r="300" spans="1:4" x14ac:dyDescent="0.35">
      <c r="A300" t="s">
        <v>399</v>
      </c>
      <c r="B300" s="8" t="s">
        <v>400</v>
      </c>
      <c r="C300" t="s">
        <v>6233</v>
      </c>
      <c r="D300" s="8" t="s">
        <v>6234</v>
      </c>
    </row>
    <row r="301" spans="1:4" x14ac:dyDescent="0.35">
      <c r="A301" t="s">
        <v>399</v>
      </c>
      <c r="B301" s="8" t="s">
        <v>400</v>
      </c>
      <c r="C301" t="s">
        <v>6239</v>
      </c>
      <c r="D301" s="8" t="s">
        <v>6240</v>
      </c>
    </row>
    <row r="302" spans="1:4" x14ac:dyDescent="0.35">
      <c r="A302" t="s">
        <v>401</v>
      </c>
      <c r="B302" s="8" t="s">
        <v>402</v>
      </c>
      <c r="C302" t="s">
        <v>6163</v>
      </c>
      <c r="D302" s="8" t="s">
        <v>6164</v>
      </c>
    </row>
    <row r="303" spans="1:4" x14ac:dyDescent="0.35">
      <c r="A303" t="s">
        <v>403</v>
      </c>
      <c r="B303" s="8" t="s">
        <v>405</v>
      </c>
      <c r="C303" t="s">
        <v>6148</v>
      </c>
      <c r="D303" s="8" t="s">
        <v>6149</v>
      </c>
    </row>
    <row r="304" spans="1:4" x14ac:dyDescent="0.35">
      <c r="A304" t="s">
        <v>403</v>
      </c>
      <c r="B304" s="8" t="s">
        <v>405</v>
      </c>
      <c r="C304" t="s">
        <v>6231</v>
      </c>
      <c r="D304" s="8" t="s">
        <v>6232</v>
      </c>
    </row>
    <row r="305" spans="1:4" x14ac:dyDescent="0.35">
      <c r="A305" t="s">
        <v>403</v>
      </c>
      <c r="B305" s="8" t="s">
        <v>405</v>
      </c>
      <c r="C305" t="s">
        <v>6150</v>
      </c>
      <c r="D305" s="8" t="s">
        <v>6151</v>
      </c>
    </row>
    <row r="306" spans="1:4" x14ac:dyDescent="0.35">
      <c r="A306" t="s">
        <v>406</v>
      </c>
      <c r="B306" s="8" t="s">
        <v>408</v>
      </c>
      <c r="C306" t="s">
        <v>6243</v>
      </c>
      <c r="D306" s="8" t="s">
        <v>6244</v>
      </c>
    </row>
    <row r="307" spans="1:4" x14ac:dyDescent="0.35">
      <c r="A307" t="s">
        <v>406</v>
      </c>
      <c r="B307" s="8" t="s">
        <v>408</v>
      </c>
      <c r="C307" t="s">
        <v>6121</v>
      </c>
      <c r="D307" s="8" t="s">
        <v>6122</v>
      </c>
    </row>
    <row r="308" spans="1:4" x14ac:dyDescent="0.35">
      <c r="A308" t="s">
        <v>406</v>
      </c>
      <c r="B308" s="8" t="s">
        <v>408</v>
      </c>
      <c r="C308" t="s">
        <v>6245</v>
      </c>
      <c r="D308" s="8" t="s">
        <v>6246</v>
      </c>
    </row>
    <row r="309" spans="1:4" x14ac:dyDescent="0.35">
      <c r="A309" t="s">
        <v>406</v>
      </c>
      <c r="B309" s="8" t="s">
        <v>408</v>
      </c>
      <c r="C309" t="s">
        <v>6123</v>
      </c>
      <c r="D309" s="8" t="s">
        <v>6124</v>
      </c>
    </row>
    <row r="310" spans="1:4" x14ac:dyDescent="0.35">
      <c r="A310" t="s">
        <v>409</v>
      </c>
      <c r="B310" s="8" t="s">
        <v>410</v>
      </c>
      <c r="C310" t="s">
        <v>6148</v>
      </c>
      <c r="D310" s="8" t="s">
        <v>6149</v>
      </c>
    </row>
    <row r="311" spans="1:4" x14ac:dyDescent="0.35">
      <c r="A311" t="s">
        <v>409</v>
      </c>
      <c r="B311" s="8" t="s">
        <v>410</v>
      </c>
      <c r="C311" t="s">
        <v>6150</v>
      </c>
      <c r="D311" s="8" t="s">
        <v>6151</v>
      </c>
    </row>
    <row r="312" spans="1:4" x14ac:dyDescent="0.35">
      <c r="A312" t="s">
        <v>411</v>
      </c>
      <c r="B312" s="8" t="s">
        <v>412</v>
      </c>
      <c r="C312" t="s">
        <v>6148</v>
      </c>
      <c r="D312" s="8" t="s">
        <v>6149</v>
      </c>
    </row>
    <row r="313" spans="1:4" x14ac:dyDescent="0.35">
      <c r="A313" t="s">
        <v>411</v>
      </c>
      <c r="B313" s="8" t="s">
        <v>412</v>
      </c>
      <c r="C313" t="s">
        <v>6150</v>
      </c>
      <c r="D313" s="8" t="s">
        <v>6151</v>
      </c>
    </row>
    <row r="314" spans="1:4" x14ac:dyDescent="0.35">
      <c r="A314" t="s">
        <v>413</v>
      </c>
      <c r="B314" s="8" t="s">
        <v>415</v>
      </c>
      <c r="C314" t="s">
        <v>6247</v>
      </c>
      <c r="D314" s="8" t="s">
        <v>6248</v>
      </c>
    </row>
    <row r="315" spans="1:4" x14ac:dyDescent="0.35">
      <c r="A315" t="s">
        <v>416</v>
      </c>
      <c r="B315" s="8" t="s">
        <v>418</v>
      </c>
      <c r="C315" t="s">
        <v>6235</v>
      </c>
      <c r="D315" s="8" t="s">
        <v>6236</v>
      </c>
    </row>
    <row r="316" spans="1:4" x14ac:dyDescent="0.35">
      <c r="A316" t="s">
        <v>416</v>
      </c>
      <c r="B316" s="8" t="s">
        <v>418</v>
      </c>
      <c r="C316" t="s">
        <v>6249</v>
      </c>
      <c r="D316" s="8" t="s">
        <v>6250</v>
      </c>
    </row>
    <row r="317" spans="1:4" x14ac:dyDescent="0.35">
      <c r="A317" t="s">
        <v>416</v>
      </c>
      <c r="B317" s="8" t="s">
        <v>418</v>
      </c>
      <c r="C317" t="s">
        <v>6251</v>
      </c>
      <c r="D317" s="8" t="s">
        <v>6252</v>
      </c>
    </row>
    <row r="318" spans="1:4" x14ac:dyDescent="0.35">
      <c r="A318" t="s">
        <v>416</v>
      </c>
      <c r="B318" s="8" t="s">
        <v>418</v>
      </c>
      <c r="C318" t="s">
        <v>6253</v>
      </c>
      <c r="D318" s="8" t="s">
        <v>6254</v>
      </c>
    </row>
    <row r="319" spans="1:4" x14ac:dyDescent="0.35">
      <c r="A319" t="s">
        <v>416</v>
      </c>
      <c r="B319" s="8" t="s">
        <v>418</v>
      </c>
      <c r="C319" t="s">
        <v>6255</v>
      </c>
      <c r="D319" s="8" t="s">
        <v>6256</v>
      </c>
    </row>
    <row r="320" spans="1:4" x14ac:dyDescent="0.35">
      <c r="A320" t="s">
        <v>416</v>
      </c>
      <c r="B320" s="8" t="s">
        <v>418</v>
      </c>
      <c r="C320" t="s">
        <v>6257</v>
      </c>
      <c r="D320" s="8" t="s">
        <v>6258</v>
      </c>
    </row>
    <row r="321" spans="1:4" x14ac:dyDescent="0.35">
      <c r="A321" t="s">
        <v>416</v>
      </c>
      <c r="B321" s="8" t="s">
        <v>418</v>
      </c>
      <c r="C321" t="s">
        <v>6259</v>
      </c>
      <c r="D321" s="8" t="s">
        <v>6260</v>
      </c>
    </row>
    <row r="322" spans="1:4" x14ac:dyDescent="0.35">
      <c r="A322" t="s">
        <v>416</v>
      </c>
      <c r="B322" s="8" t="s">
        <v>418</v>
      </c>
      <c r="C322" t="s">
        <v>6261</v>
      </c>
      <c r="D322" s="8" t="s">
        <v>6262</v>
      </c>
    </row>
    <row r="323" spans="1:4" x14ac:dyDescent="0.35">
      <c r="A323" t="s">
        <v>416</v>
      </c>
      <c r="B323" s="8" t="s">
        <v>418</v>
      </c>
      <c r="C323" t="s">
        <v>6263</v>
      </c>
      <c r="D323" s="8" t="s">
        <v>6264</v>
      </c>
    </row>
    <row r="324" spans="1:4" x14ac:dyDescent="0.35">
      <c r="A324" t="s">
        <v>416</v>
      </c>
      <c r="B324" s="8" t="s">
        <v>418</v>
      </c>
      <c r="C324" t="s">
        <v>6265</v>
      </c>
      <c r="D324" s="8" t="s">
        <v>6266</v>
      </c>
    </row>
    <row r="325" spans="1:4" x14ac:dyDescent="0.35">
      <c r="A325" t="s">
        <v>6267</v>
      </c>
      <c r="B325" s="8" t="s">
        <v>419</v>
      </c>
      <c r="C325" t="s">
        <v>6235</v>
      </c>
      <c r="D325" s="8" t="s">
        <v>6236</v>
      </c>
    </row>
    <row r="326" spans="1:4" x14ac:dyDescent="0.35">
      <c r="A326" t="s">
        <v>6267</v>
      </c>
      <c r="B326" s="8" t="s">
        <v>419</v>
      </c>
      <c r="C326" t="s">
        <v>6268</v>
      </c>
      <c r="D326" s="8" t="s">
        <v>6269</v>
      </c>
    </row>
    <row r="327" spans="1:4" x14ac:dyDescent="0.35">
      <c r="A327" t="s">
        <v>6270</v>
      </c>
      <c r="B327" s="8" t="s">
        <v>420</v>
      </c>
      <c r="C327" t="s">
        <v>6163</v>
      </c>
      <c r="D327" s="8" t="s">
        <v>6164</v>
      </c>
    </row>
    <row r="328" spans="1:4" x14ac:dyDescent="0.35">
      <c r="A328" t="s">
        <v>421</v>
      </c>
      <c r="B328" s="8" t="s">
        <v>423</v>
      </c>
      <c r="C328" t="s">
        <v>6150</v>
      </c>
      <c r="D328" s="8" t="s">
        <v>6151</v>
      </c>
    </row>
    <row r="329" spans="1:4" x14ac:dyDescent="0.35">
      <c r="A329" t="s">
        <v>424</v>
      </c>
      <c r="B329" s="8" t="s">
        <v>425</v>
      </c>
      <c r="C329" t="s">
        <v>6119</v>
      </c>
      <c r="D329" s="8" t="s">
        <v>6120</v>
      </c>
    </row>
    <row r="330" spans="1:4" x14ac:dyDescent="0.35">
      <c r="A330" t="s">
        <v>424</v>
      </c>
      <c r="B330" s="8" t="s">
        <v>425</v>
      </c>
      <c r="C330" t="s">
        <v>6271</v>
      </c>
      <c r="D330" s="8" t="s">
        <v>6272</v>
      </c>
    </row>
    <row r="331" spans="1:4" x14ac:dyDescent="0.35">
      <c r="A331" t="s">
        <v>426</v>
      </c>
      <c r="B331" s="8" t="s">
        <v>427</v>
      </c>
      <c r="C331" t="s">
        <v>6148</v>
      </c>
      <c r="D331" s="8" t="s">
        <v>6149</v>
      </c>
    </row>
    <row r="332" spans="1:4" x14ac:dyDescent="0.35">
      <c r="A332" t="s">
        <v>426</v>
      </c>
      <c r="B332" s="8" t="s">
        <v>427</v>
      </c>
      <c r="C332" t="s">
        <v>6231</v>
      </c>
      <c r="D332" s="8" t="s">
        <v>6232</v>
      </c>
    </row>
    <row r="333" spans="1:4" x14ac:dyDescent="0.35">
      <c r="A333" t="s">
        <v>426</v>
      </c>
      <c r="B333" s="8" t="s">
        <v>427</v>
      </c>
      <c r="C333" t="s">
        <v>6233</v>
      </c>
      <c r="D333" s="8" t="s">
        <v>6234</v>
      </c>
    </row>
    <row r="334" spans="1:4" x14ac:dyDescent="0.35">
      <c r="A334" t="s">
        <v>426</v>
      </c>
      <c r="B334" s="8" t="s">
        <v>427</v>
      </c>
      <c r="C334" t="s">
        <v>6150</v>
      </c>
      <c r="D334" s="8" t="s">
        <v>6151</v>
      </c>
    </row>
    <row r="335" spans="1:4" x14ac:dyDescent="0.35">
      <c r="A335" t="s">
        <v>426</v>
      </c>
      <c r="B335" s="8" t="s">
        <v>427</v>
      </c>
      <c r="C335" t="s">
        <v>6119</v>
      </c>
      <c r="D335" s="8" t="s">
        <v>6120</v>
      </c>
    </row>
    <row r="336" spans="1:4" x14ac:dyDescent="0.35">
      <c r="A336" t="s">
        <v>426</v>
      </c>
      <c r="B336" s="8" t="s">
        <v>427</v>
      </c>
      <c r="C336" t="s">
        <v>6172</v>
      </c>
      <c r="D336" s="8" t="s">
        <v>6173</v>
      </c>
    </row>
    <row r="337" spans="1:4" x14ac:dyDescent="0.35">
      <c r="A337" t="s">
        <v>428</v>
      </c>
      <c r="B337" s="8" t="s">
        <v>429</v>
      </c>
      <c r="C337" t="s">
        <v>6148</v>
      </c>
      <c r="D337" s="8" t="s">
        <v>6149</v>
      </c>
    </row>
    <row r="338" spans="1:4" x14ac:dyDescent="0.35">
      <c r="A338" t="s">
        <v>428</v>
      </c>
      <c r="B338" s="8" t="s">
        <v>429</v>
      </c>
      <c r="C338" t="s">
        <v>6231</v>
      </c>
      <c r="D338" s="8" t="s">
        <v>6232</v>
      </c>
    </row>
    <row r="339" spans="1:4" x14ac:dyDescent="0.35">
      <c r="A339" t="s">
        <v>428</v>
      </c>
      <c r="B339" s="8" t="s">
        <v>429</v>
      </c>
      <c r="C339" t="s">
        <v>6150</v>
      </c>
      <c r="D339" s="8" t="s">
        <v>6151</v>
      </c>
    </row>
    <row r="340" spans="1:4" x14ac:dyDescent="0.35">
      <c r="A340" t="s">
        <v>430</v>
      </c>
      <c r="B340" s="8" t="s">
        <v>431</v>
      </c>
      <c r="C340" t="s">
        <v>6148</v>
      </c>
      <c r="D340" s="8" t="s">
        <v>6149</v>
      </c>
    </row>
    <row r="341" spans="1:4" x14ac:dyDescent="0.35">
      <c r="A341" t="s">
        <v>430</v>
      </c>
      <c r="B341" s="8" t="s">
        <v>431</v>
      </c>
      <c r="C341" t="s">
        <v>6231</v>
      </c>
      <c r="D341" s="8" t="s">
        <v>6232</v>
      </c>
    </row>
    <row r="342" spans="1:4" x14ac:dyDescent="0.35">
      <c r="A342" t="s">
        <v>430</v>
      </c>
      <c r="B342" s="8" t="s">
        <v>431</v>
      </c>
      <c r="C342" t="s">
        <v>6150</v>
      </c>
      <c r="D342" s="8" t="s">
        <v>6151</v>
      </c>
    </row>
    <row r="343" spans="1:4" x14ac:dyDescent="0.35">
      <c r="A343" t="s">
        <v>432</v>
      </c>
      <c r="B343" s="8" t="s">
        <v>433</v>
      </c>
      <c r="C343" t="s">
        <v>6231</v>
      </c>
      <c r="D343" s="8" t="s">
        <v>6232</v>
      </c>
    </row>
    <row r="344" spans="1:4" x14ac:dyDescent="0.35">
      <c r="A344" t="s">
        <v>432</v>
      </c>
      <c r="B344" s="8" t="s">
        <v>433</v>
      </c>
      <c r="C344" t="s">
        <v>6150</v>
      </c>
      <c r="D344" s="8" t="s">
        <v>6151</v>
      </c>
    </row>
    <row r="345" spans="1:4" x14ac:dyDescent="0.35">
      <c r="A345" t="s">
        <v>434</v>
      </c>
      <c r="B345" s="8" t="s">
        <v>436</v>
      </c>
      <c r="C345" t="s">
        <v>6231</v>
      </c>
      <c r="D345" s="8" t="s">
        <v>6232</v>
      </c>
    </row>
    <row r="346" spans="1:4" x14ac:dyDescent="0.35">
      <c r="A346" t="s">
        <v>434</v>
      </c>
      <c r="B346" s="8" t="s">
        <v>436</v>
      </c>
      <c r="C346" t="s">
        <v>6150</v>
      </c>
      <c r="D346" s="8" t="s">
        <v>6151</v>
      </c>
    </row>
    <row r="347" spans="1:4" x14ac:dyDescent="0.35">
      <c r="A347" t="s">
        <v>437</v>
      </c>
      <c r="B347" s="8" t="s">
        <v>438</v>
      </c>
      <c r="C347" t="s">
        <v>6231</v>
      </c>
      <c r="D347" s="8" t="s">
        <v>6232</v>
      </c>
    </row>
    <row r="348" spans="1:4" x14ac:dyDescent="0.35">
      <c r="A348" t="s">
        <v>437</v>
      </c>
      <c r="B348" s="8" t="s">
        <v>438</v>
      </c>
      <c r="C348" t="s">
        <v>6233</v>
      </c>
      <c r="D348" s="8" t="s">
        <v>6234</v>
      </c>
    </row>
    <row r="349" spans="1:4" x14ac:dyDescent="0.35">
      <c r="A349" t="s">
        <v>437</v>
      </c>
      <c r="B349" s="8" t="s">
        <v>438</v>
      </c>
      <c r="C349" t="s">
        <v>6150</v>
      </c>
      <c r="D349" s="8" t="s">
        <v>6151</v>
      </c>
    </row>
    <row r="350" spans="1:4" x14ac:dyDescent="0.35">
      <c r="A350" t="s">
        <v>437</v>
      </c>
      <c r="B350" s="8" t="s">
        <v>438</v>
      </c>
      <c r="C350" t="s">
        <v>6119</v>
      </c>
      <c r="D350" s="8" t="s">
        <v>6120</v>
      </c>
    </row>
    <row r="351" spans="1:4" x14ac:dyDescent="0.35">
      <c r="A351" t="s">
        <v>439</v>
      </c>
      <c r="B351" s="8" t="s">
        <v>440</v>
      </c>
      <c r="C351" t="s">
        <v>6233</v>
      </c>
      <c r="D351" s="8" t="s">
        <v>6234</v>
      </c>
    </row>
    <row r="352" spans="1:4" x14ac:dyDescent="0.35">
      <c r="A352" t="s">
        <v>439</v>
      </c>
      <c r="B352" s="8" t="s">
        <v>440</v>
      </c>
      <c r="C352" t="s">
        <v>6172</v>
      </c>
      <c r="D352" s="8" t="s">
        <v>6173</v>
      </c>
    </row>
    <row r="353" spans="1:4" x14ac:dyDescent="0.35">
      <c r="A353" t="s">
        <v>441</v>
      </c>
      <c r="B353" s="8" t="s">
        <v>442</v>
      </c>
      <c r="C353" t="s">
        <v>6231</v>
      </c>
      <c r="D353" s="8" t="s">
        <v>6232</v>
      </c>
    </row>
    <row r="354" spans="1:4" x14ac:dyDescent="0.35">
      <c r="A354" t="s">
        <v>441</v>
      </c>
      <c r="B354" s="8" t="s">
        <v>442</v>
      </c>
      <c r="C354" t="s">
        <v>6233</v>
      </c>
      <c r="D354" s="8" t="s">
        <v>6234</v>
      </c>
    </row>
    <row r="355" spans="1:4" x14ac:dyDescent="0.35">
      <c r="A355" t="s">
        <v>441</v>
      </c>
      <c r="B355" s="8" t="s">
        <v>442</v>
      </c>
      <c r="C355" t="s">
        <v>6150</v>
      </c>
      <c r="D355" s="8" t="s">
        <v>6151</v>
      </c>
    </row>
    <row r="356" spans="1:4" x14ac:dyDescent="0.35">
      <c r="A356" t="s">
        <v>441</v>
      </c>
      <c r="B356" s="8" t="s">
        <v>442</v>
      </c>
      <c r="C356" t="s">
        <v>6172</v>
      </c>
      <c r="D356" s="8" t="s">
        <v>6173</v>
      </c>
    </row>
    <row r="357" spans="1:4" x14ac:dyDescent="0.35">
      <c r="A357" t="s">
        <v>443</v>
      </c>
      <c r="B357" s="8" t="s">
        <v>444</v>
      </c>
      <c r="C357" t="s">
        <v>6273</v>
      </c>
      <c r="D357" s="8" t="s">
        <v>6274</v>
      </c>
    </row>
    <row r="358" spans="1:4" x14ac:dyDescent="0.35">
      <c r="A358" t="s">
        <v>443</v>
      </c>
      <c r="B358" s="8" t="s">
        <v>444</v>
      </c>
      <c r="C358" t="s">
        <v>6148</v>
      </c>
      <c r="D358" s="8" t="s">
        <v>6149</v>
      </c>
    </row>
    <row r="359" spans="1:4" x14ac:dyDescent="0.35">
      <c r="A359" t="s">
        <v>443</v>
      </c>
      <c r="B359" s="8" t="s">
        <v>444</v>
      </c>
      <c r="C359" t="s">
        <v>6150</v>
      </c>
      <c r="D359" s="8" t="s">
        <v>6151</v>
      </c>
    </row>
    <row r="360" spans="1:4" x14ac:dyDescent="0.35">
      <c r="A360" t="s">
        <v>445</v>
      </c>
      <c r="B360" s="8" t="s">
        <v>446</v>
      </c>
      <c r="C360" t="s">
        <v>6150</v>
      </c>
      <c r="D360" s="8" t="s">
        <v>6151</v>
      </c>
    </row>
    <row r="361" spans="1:4" x14ac:dyDescent="0.35">
      <c r="A361" t="s">
        <v>6275</v>
      </c>
      <c r="B361" s="8" t="s">
        <v>447</v>
      </c>
      <c r="C361" t="s">
        <v>6163</v>
      </c>
      <c r="D361" s="8" t="s">
        <v>6164</v>
      </c>
    </row>
    <row r="362" spans="1:4" x14ac:dyDescent="0.35">
      <c r="A362" t="s">
        <v>448</v>
      </c>
      <c r="B362" s="8" t="s">
        <v>449</v>
      </c>
      <c r="C362" t="s">
        <v>6276</v>
      </c>
      <c r="D362" s="8" t="s">
        <v>6277</v>
      </c>
    </row>
    <row r="363" spans="1:4" x14ac:dyDescent="0.35">
      <c r="A363" t="s">
        <v>448</v>
      </c>
      <c r="B363" s="8" t="s">
        <v>449</v>
      </c>
      <c r="C363" t="s">
        <v>6278</v>
      </c>
      <c r="D363" s="8" t="s">
        <v>6279</v>
      </c>
    </row>
    <row r="364" spans="1:4" x14ac:dyDescent="0.35">
      <c r="A364" t="s">
        <v>448</v>
      </c>
      <c r="B364" s="8" t="s">
        <v>449</v>
      </c>
      <c r="C364" t="s">
        <v>6280</v>
      </c>
      <c r="D364" s="8" t="s">
        <v>6281</v>
      </c>
    </row>
    <row r="365" spans="1:4" x14ac:dyDescent="0.35">
      <c r="A365" t="s">
        <v>6282</v>
      </c>
      <c r="B365" s="8" t="s">
        <v>450</v>
      </c>
      <c r="C365" t="s">
        <v>6276</v>
      </c>
      <c r="D365" s="8" t="s">
        <v>6277</v>
      </c>
    </row>
    <row r="366" spans="1:4" x14ac:dyDescent="0.35">
      <c r="A366" t="s">
        <v>6282</v>
      </c>
      <c r="B366" s="8" t="s">
        <v>450</v>
      </c>
      <c r="C366" t="s">
        <v>6278</v>
      </c>
      <c r="D366" s="8" t="s">
        <v>6279</v>
      </c>
    </row>
    <row r="367" spans="1:4" x14ac:dyDescent="0.35">
      <c r="A367" t="s">
        <v>6282</v>
      </c>
      <c r="B367" s="8" t="s">
        <v>450</v>
      </c>
      <c r="C367" t="s">
        <v>6280</v>
      </c>
      <c r="D367" s="8" t="s">
        <v>6281</v>
      </c>
    </row>
    <row r="368" spans="1:4" x14ac:dyDescent="0.35">
      <c r="A368" t="s">
        <v>6283</v>
      </c>
      <c r="B368" s="8" t="s">
        <v>451</v>
      </c>
      <c r="C368" t="s">
        <v>6280</v>
      </c>
      <c r="D368" s="8" t="s">
        <v>6281</v>
      </c>
    </row>
    <row r="369" spans="1:4" x14ac:dyDescent="0.35">
      <c r="A369" t="s">
        <v>452</v>
      </c>
      <c r="B369" s="8" t="s">
        <v>454</v>
      </c>
      <c r="C369" t="s">
        <v>6276</v>
      </c>
      <c r="D369" s="8" t="s">
        <v>6277</v>
      </c>
    </row>
    <row r="370" spans="1:4" x14ac:dyDescent="0.35">
      <c r="A370" t="s">
        <v>452</v>
      </c>
      <c r="B370" s="8" t="s">
        <v>454</v>
      </c>
      <c r="C370" t="s">
        <v>6284</v>
      </c>
      <c r="D370" s="8" t="s">
        <v>6285</v>
      </c>
    </row>
    <row r="371" spans="1:4" x14ac:dyDescent="0.35">
      <c r="A371" t="s">
        <v>452</v>
      </c>
      <c r="B371" s="8" t="s">
        <v>454</v>
      </c>
      <c r="C371" t="s">
        <v>6280</v>
      </c>
      <c r="D371" s="8" t="s">
        <v>6281</v>
      </c>
    </row>
    <row r="372" spans="1:4" x14ac:dyDescent="0.35">
      <c r="A372" t="s">
        <v>452</v>
      </c>
      <c r="B372" s="8" t="s">
        <v>454</v>
      </c>
      <c r="C372" t="s">
        <v>6286</v>
      </c>
      <c r="D372" s="8" t="s">
        <v>6287</v>
      </c>
    </row>
    <row r="373" spans="1:4" x14ac:dyDescent="0.35">
      <c r="A373" t="s">
        <v>455</v>
      </c>
      <c r="B373" s="8" t="s">
        <v>456</v>
      </c>
      <c r="C373" t="s">
        <v>6276</v>
      </c>
      <c r="D373" s="8" t="s">
        <v>6277</v>
      </c>
    </row>
    <row r="374" spans="1:4" x14ac:dyDescent="0.35">
      <c r="A374" t="s">
        <v>455</v>
      </c>
      <c r="B374" s="8" t="s">
        <v>456</v>
      </c>
      <c r="C374" t="s">
        <v>6278</v>
      </c>
      <c r="D374" s="8" t="s">
        <v>6279</v>
      </c>
    </row>
    <row r="375" spans="1:4" x14ac:dyDescent="0.35">
      <c r="A375" t="s">
        <v>455</v>
      </c>
      <c r="B375" s="8" t="s">
        <v>456</v>
      </c>
      <c r="C375" t="s">
        <v>6288</v>
      </c>
      <c r="D375" s="8" t="s">
        <v>6289</v>
      </c>
    </row>
    <row r="376" spans="1:4" x14ac:dyDescent="0.35">
      <c r="A376" t="s">
        <v>455</v>
      </c>
      <c r="B376" s="8" t="s">
        <v>456</v>
      </c>
      <c r="C376" t="s">
        <v>6280</v>
      </c>
      <c r="D376" s="8" t="s">
        <v>6281</v>
      </c>
    </row>
    <row r="377" spans="1:4" x14ac:dyDescent="0.35">
      <c r="A377" t="s">
        <v>6290</v>
      </c>
      <c r="B377" s="8" t="s">
        <v>457</v>
      </c>
      <c r="C377" t="s">
        <v>6276</v>
      </c>
      <c r="D377" s="8" t="s">
        <v>6277</v>
      </c>
    </row>
    <row r="378" spans="1:4" x14ac:dyDescent="0.35">
      <c r="A378" t="s">
        <v>6290</v>
      </c>
      <c r="B378" s="8" t="s">
        <v>457</v>
      </c>
      <c r="C378" t="s">
        <v>6280</v>
      </c>
      <c r="D378" s="8" t="s">
        <v>6281</v>
      </c>
    </row>
    <row r="379" spans="1:4" x14ac:dyDescent="0.35">
      <c r="A379" t="s">
        <v>6290</v>
      </c>
      <c r="B379" s="8" t="s">
        <v>457</v>
      </c>
      <c r="C379" t="s">
        <v>6291</v>
      </c>
      <c r="D379" s="8" t="s">
        <v>6292</v>
      </c>
    </row>
    <row r="380" spans="1:4" x14ac:dyDescent="0.35">
      <c r="A380" t="s">
        <v>6293</v>
      </c>
      <c r="B380" s="8" t="s">
        <v>458</v>
      </c>
      <c r="C380" t="s">
        <v>6284</v>
      </c>
      <c r="D380" s="8" t="s">
        <v>6285</v>
      </c>
    </row>
    <row r="381" spans="1:4" x14ac:dyDescent="0.35">
      <c r="A381" t="s">
        <v>6293</v>
      </c>
      <c r="B381" s="8" t="s">
        <v>458</v>
      </c>
      <c r="C381" t="s">
        <v>6280</v>
      </c>
      <c r="D381" s="8" t="s">
        <v>6281</v>
      </c>
    </row>
    <row r="382" spans="1:4" x14ac:dyDescent="0.35">
      <c r="A382" t="s">
        <v>6294</v>
      </c>
      <c r="B382" s="8" t="s">
        <v>459</v>
      </c>
      <c r="C382" t="s">
        <v>6280</v>
      </c>
      <c r="D382" s="8" t="s">
        <v>6281</v>
      </c>
    </row>
    <row r="383" spans="1:4" x14ac:dyDescent="0.35">
      <c r="A383" t="s">
        <v>460</v>
      </c>
      <c r="B383" s="8" t="s">
        <v>461</v>
      </c>
      <c r="C383" t="s">
        <v>6276</v>
      </c>
      <c r="D383" s="8" t="s">
        <v>6277</v>
      </c>
    </row>
    <row r="384" spans="1:4" x14ac:dyDescent="0.35">
      <c r="A384" t="s">
        <v>460</v>
      </c>
      <c r="B384" s="8" t="s">
        <v>461</v>
      </c>
      <c r="C384" t="s">
        <v>6280</v>
      </c>
      <c r="D384" s="8" t="s">
        <v>6281</v>
      </c>
    </row>
    <row r="385" spans="1:4" x14ac:dyDescent="0.35">
      <c r="A385" t="s">
        <v>460</v>
      </c>
      <c r="B385" s="8" t="s">
        <v>461</v>
      </c>
      <c r="C385" t="s">
        <v>6291</v>
      </c>
      <c r="D385" s="8" t="s">
        <v>6292</v>
      </c>
    </row>
    <row r="386" spans="1:4" x14ac:dyDescent="0.35">
      <c r="A386" t="s">
        <v>462</v>
      </c>
      <c r="B386" s="8" t="s">
        <v>463</v>
      </c>
      <c r="C386" t="s">
        <v>6276</v>
      </c>
      <c r="D386" s="8" t="s">
        <v>6277</v>
      </c>
    </row>
    <row r="387" spans="1:4" x14ac:dyDescent="0.35">
      <c r="A387" t="s">
        <v>462</v>
      </c>
      <c r="B387" s="8" t="s">
        <v>463</v>
      </c>
      <c r="C387" t="s">
        <v>6288</v>
      </c>
      <c r="D387" s="8" t="s">
        <v>6289</v>
      </c>
    </row>
    <row r="388" spans="1:4" x14ac:dyDescent="0.35">
      <c r="A388" t="s">
        <v>462</v>
      </c>
      <c r="B388" s="8" t="s">
        <v>463</v>
      </c>
      <c r="C388" t="s">
        <v>6280</v>
      </c>
      <c r="D388" s="8" t="s">
        <v>6281</v>
      </c>
    </row>
    <row r="389" spans="1:4" x14ac:dyDescent="0.35">
      <c r="A389" t="s">
        <v>464</v>
      </c>
      <c r="B389" s="8" t="s">
        <v>465</v>
      </c>
      <c r="C389" t="s">
        <v>6278</v>
      </c>
      <c r="D389" s="8" t="s">
        <v>6279</v>
      </c>
    </row>
    <row r="390" spans="1:4" x14ac:dyDescent="0.35">
      <c r="A390" t="s">
        <v>464</v>
      </c>
      <c r="B390" s="8" t="s">
        <v>465</v>
      </c>
      <c r="C390" t="s">
        <v>6295</v>
      </c>
      <c r="D390" s="8" t="s">
        <v>6296</v>
      </c>
    </row>
    <row r="391" spans="1:4" x14ac:dyDescent="0.35">
      <c r="A391" t="s">
        <v>6297</v>
      </c>
      <c r="B391" s="8" t="s">
        <v>466</v>
      </c>
      <c r="C391" t="s">
        <v>6295</v>
      </c>
      <c r="D391" s="8" t="s">
        <v>6296</v>
      </c>
    </row>
    <row r="392" spans="1:4" x14ac:dyDescent="0.35">
      <c r="A392" t="s">
        <v>6297</v>
      </c>
      <c r="B392" s="8" t="s">
        <v>466</v>
      </c>
      <c r="C392" t="s">
        <v>6280</v>
      </c>
      <c r="D392" s="8" t="s">
        <v>6281</v>
      </c>
    </row>
    <row r="393" spans="1:4" x14ac:dyDescent="0.35">
      <c r="A393" t="s">
        <v>6298</v>
      </c>
      <c r="B393" s="8" t="s">
        <v>467</v>
      </c>
      <c r="C393" t="s">
        <v>6280</v>
      </c>
      <c r="D393" s="8" t="s">
        <v>6281</v>
      </c>
    </row>
    <row r="394" spans="1:4" x14ac:dyDescent="0.35">
      <c r="A394" t="s">
        <v>6299</v>
      </c>
      <c r="B394" s="8" t="s">
        <v>468</v>
      </c>
      <c r="C394" t="s">
        <v>6280</v>
      </c>
      <c r="D394" s="8" t="s">
        <v>6281</v>
      </c>
    </row>
    <row r="395" spans="1:4" x14ac:dyDescent="0.35">
      <c r="A395" t="s">
        <v>469</v>
      </c>
      <c r="B395" s="8" t="s">
        <v>470</v>
      </c>
      <c r="C395" t="s">
        <v>6300</v>
      </c>
      <c r="D395" s="8" t="s">
        <v>6301</v>
      </c>
    </row>
    <row r="396" spans="1:4" x14ac:dyDescent="0.35">
      <c r="A396" t="s">
        <v>471</v>
      </c>
      <c r="B396" s="8" t="s">
        <v>472</v>
      </c>
      <c r="C396" t="s">
        <v>6276</v>
      </c>
      <c r="D396" s="8" t="s">
        <v>6277</v>
      </c>
    </row>
    <row r="397" spans="1:4" x14ac:dyDescent="0.35">
      <c r="A397" t="s">
        <v>471</v>
      </c>
      <c r="B397" s="8" t="s">
        <v>472</v>
      </c>
      <c r="C397" t="s">
        <v>6300</v>
      </c>
      <c r="D397" s="8" t="s">
        <v>6301</v>
      </c>
    </row>
    <row r="398" spans="1:4" x14ac:dyDescent="0.35">
      <c r="A398" t="s">
        <v>471</v>
      </c>
      <c r="B398" s="8" t="s">
        <v>472</v>
      </c>
      <c r="C398" t="s">
        <v>6280</v>
      </c>
      <c r="D398" s="8" t="s">
        <v>6281</v>
      </c>
    </row>
    <row r="399" spans="1:4" x14ac:dyDescent="0.35">
      <c r="A399" t="s">
        <v>473</v>
      </c>
      <c r="B399" s="8" t="s">
        <v>474</v>
      </c>
      <c r="C399" t="s">
        <v>6300</v>
      </c>
      <c r="D399" s="8" t="s">
        <v>6301</v>
      </c>
    </row>
    <row r="400" spans="1:4" x14ac:dyDescent="0.35">
      <c r="A400" t="s">
        <v>473</v>
      </c>
      <c r="B400" s="8" t="s">
        <v>474</v>
      </c>
      <c r="C400" t="s">
        <v>6280</v>
      </c>
      <c r="D400" s="8" t="s">
        <v>6281</v>
      </c>
    </row>
    <row r="401" spans="1:4" x14ac:dyDescent="0.35">
      <c r="A401" t="s">
        <v>475</v>
      </c>
      <c r="B401" s="8" t="s">
        <v>476</v>
      </c>
      <c r="C401" t="s">
        <v>6302</v>
      </c>
      <c r="D401" s="8" t="s">
        <v>6303</v>
      </c>
    </row>
    <row r="402" spans="1:4" x14ac:dyDescent="0.35">
      <c r="A402" t="s">
        <v>475</v>
      </c>
      <c r="B402" s="8" t="s">
        <v>476</v>
      </c>
      <c r="C402" t="s">
        <v>6304</v>
      </c>
      <c r="D402" s="8" t="s">
        <v>6305</v>
      </c>
    </row>
    <row r="403" spans="1:4" x14ac:dyDescent="0.35">
      <c r="A403" t="s">
        <v>475</v>
      </c>
      <c r="B403" s="8" t="s">
        <v>476</v>
      </c>
      <c r="C403" t="s">
        <v>6284</v>
      </c>
      <c r="D403" s="8" t="s">
        <v>6285</v>
      </c>
    </row>
    <row r="404" spans="1:4" x14ac:dyDescent="0.35">
      <c r="A404" t="s">
        <v>475</v>
      </c>
      <c r="B404" s="8" t="s">
        <v>476</v>
      </c>
      <c r="C404" t="s">
        <v>6286</v>
      </c>
      <c r="D404" s="8" t="s">
        <v>6287</v>
      </c>
    </row>
    <row r="405" spans="1:4" x14ac:dyDescent="0.35">
      <c r="A405" t="s">
        <v>475</v>
      </c>
      <c r="B405" s="8" t="s">
        <v>476</v>
      </c>
      <c r="C405" t="s">
        <v>6306</v>
      </c>
      <c r="D405" s="8" t="s">
        <v>6307</v>
      </c>
    </row>
    <row r="406" spans="1:4" x14ac:dyDescent="0.35">
      <c r="A406" t="s">
        <v>475</v>
      </c>
      <c r="B406" s="8" t="s">
        <v>476</v>
      </c>
      <c r="C406" t="s">
        <v>6308</v>
      </c>
      <c r="D406" s="8" t="s">
        <v>6309</v>
      </c>
    </row>
    <row r="407" spans="1:4" x14ac:dyDescent="0.35">
      <c r="A407" t="s">
        <v>477</v>
      </c>
      <c r="B407" s="8" t="s">
        <v>478</v>
      </c>
      <c r="C407" t="s">
        <v>6163</v>
      </c>
      <c r="D407" s="8" t="s">
        <v>6164</v>
      </c>
    </row>
    <row r="408" spans="1:4" x14ac:dyDescent="0.35">
      <c r="A408" t="s">
        <v>479</v>
      </c>
      <c r="B408" s="8" t="s">
        <v>480</v>
      </c>
      <c r="C408" t="s">
        <v>6310</v>
      </c>
      <c r="D408" s="8" t="s">
        <v>6311</v>
      </c>
    </row>
    <row r="409" spans="1:4" x14ac:dyDescent="0.35">
      <c r="A409" t="s">
        <v>481</v>
      </c>
      <c r="B409" s="8" t="s">
        <v>482</v>
      </c>
      <c r="C409" t="s">
        <v>6310</v>
      </c>
      <c r="D409" s="8" t="s">
        <v>6311</v>
      </c>
    </row>
    <row r="410" spans="1:4" x14ac:dyDescent="0.35">
      <c r="A410" t="s">
        <v>483</v>
      </c>
      <c r="B410" s="8" t="s">
        <v>484</v>
      </c>
      <c r="C410" t="s">
        <v>6310</v>
      </c>
      <c r="D410" s="8" t="s">
        <v>6311</v>
      </c>
    </row>
    <row r="411" spans="1:4" x14ac:dyDescent="0.35">
      <c r="A411" t="s">
        <v>485</v>
      </c>
      <c r="B411" s="8" t="s">
        <v>486</v>
      </c>
      <c r="C411" t="s">
        <v>6310</v>
      </c>
      <c r="D411" s="8" t="s">
        <v>6311</v>
      </c>
    </row>
    <row r="412" spans="1:4" x14ac:dyDescent="0.35">
      <c r="A412" t="s">
        <v>487</v>
      </c>
      <c r="B412" s="8" t="s">
        <v>488</v>
      </c>
      <c r="C412" t="s">
        <v>6310</v>
      </c>
      <c r="D412" s="8" t="s">
        <v>6311</v>
      </c>
    </row>
    <row r="413" spans="1:4" x14ac:dyDescent="0.35">
      <c r="A413" t="s">
        <v>489</v>
      </c>
      <c r="B413" s="8" t="s">
        <v>490</v>
      </c>
      <c r="C413" t="s">
        <v>6310</v>
      </c>
      <c r="D413" s="8" t="s">
        <v>6311</v>
      </c>
    </row>
    <row r="414" spans="1:4" x14ac:dyDescent="0.35">
      <c r="A414" t="s">
        <v>491</v>
      </c>
      <c r="B414" s="8" t="s">
        <v>492</v>
      </c>
      <c r="C414" t="s">
        <v>6310</v>
      </c>
      <c r="D414" s="8" t="s">
        <v>6311</v>
      </c>
    </row>
    <row r="415" spans="1:4" x14ac:dyDescent="0.35">
      <c r="A415" t="s">
        <v>493</v>
      </c>
      <c r="B415" s="8" t="s">
        <v>494</v>
      </c>
      <c r="C415" t="s">
        <v>6310</v>
      </c>
      <c r="D415" s="8" t="s">
        <v>6311</v>
      </c>
    </row>
    <row r="416" spans="1:4" x14ac:dyDescent="0.35">
      <c r="A416" t="s">
        <v>495</v>
      </c>
      <c r="B416" s="8" t="s">
        <v>496</v>
      </c>
      <c r="C416" t="s">
        <v>6310</v>
      </c>
      <c r="D416" s="8" t="s">
        <v>6311</v>
      </c>
    </row>
    <row r="417" spans="1:4" x14ac:dyDescent="0.35">
      <c r="A417" t="s">
        <v>497</v>
      </c>
      <c r="B417" s="8" t="s">
        <v>498</v>
      </c>
      <c r="C417" t="s">
        <v>6310</v>
      </c>
      <c r="D417" s="8" t="s">
        <v>6311</v>
      </c>
    </row>
    <row r="418" spans="1:4" x14ac:dyDescent="0.35">
      <c r="A418" t="s">
        <v>499</v>
      </c>
      <c r="B418" s="8" t="s">
        <v>500</v>
      </c>
      <c r="C418" t="s">
        <v>6310</v>
      </c>
      <c r="D418" s="8" t="s">
        <v>6311</v>
      </c>
    </row>
    <row r="419" spans="1:4" x14ac:dyDescent="0.35">
      <c r="A419" t="s">
        <v>501</v>
      </c>
      <c r="B419" s="8" t="s">
        <v>502</v>
      </c>
      <c r="C419" t="s">
        <v>6310</v>
      </c>
      <c r="D419" s="8" t="s">
        <v>6311</v>
      </c>
    </row>
    <row r="420" spans="1:4" x14ac:dyDescent="0.35">
      <c r="A420" t="s">
        <v>503</v>
      </c>
      <c r="B420" s="8" t="s">
        <v>504</v>
      </c>
      <c r="C420" t="s">
        <v>6310</v>
      </c>
      <c r="D420" s="8" t="s">
        <v>6311</v>
      </c>
    </row>
    <row r="421" spans="1:4" x14ac:dyDescent="0.35">
      <c r="A421" t="s">
        <v>505</v>
      </c>
      <c r="B421" s="8" t="s">
        <v>506</v>
      </c>
      <c r="C421" t="s">
        <v>6310</v>
      </c>
      <c r="D421" s="8" t="s">
        <v>6311</v>
      </c>
    </row>
    <row r="422" spans="1:4" x14ac:dyDescent="0.35">
      <c r="A422" t="s">
        <v>507</v>
      </c>
      <c r="B422" s="8" t="s">
        <v>508</v>
      </c>
      <c r="C422" t="s">
        <v>6310</v>
      </c>
      <c r="D422" s="8" t="s">
        <v>6311</v>
      </c>
    </row>
    <row r="423" spans="1:4" x14ac:dyDescent="0.35">
      <c r="A423" t="s">
        <v>509</v>
      </c>
      <c r="B423" s="8" t="s">
        <v>510</v>
      </c>
      <c r="C423" t="s">
        <v>6310</v>
      </c>
      <c r="D423" s="8" t="s">
        <v>6311</v>
      </c>
    </row>
    <row r="424" spans="1:4" x14ac:dyDescent="0.35">
      <c r="A424" t="s">
        <v>511</v>
      </c>
      <c r="B424" s="8" t="s">
        <v>512</v>
      </c>
      <c r="C424" t="s">
        <v>6310</v>
      </c>
      <c r="D424" s="8" t="s">
        <v>6311</v>
      </c>
    </row>
    <row r="425" spans="1:4" x14ac:dyDescent="0.35">
      <c r="A425" t="s">
        <v>513</v>
      </c>
      <c r="B425" s="8" t="s">
        <v>514</v>
      </c>
      <c r="C425" t="s">
        <v>6310</v>
      </c>
      <c r="D425" s="8" t="s">
        <v>6311</v>
      </c>
    </row>
    <row r="426" spans="1:4" x14ac:dyDescent="0.35">
      <c r="A426" t="s">
        <v>515</v>
      </c>
      <c r="B426" s="8" t="s">
        <v>516</v>
      </c>
      <c r="C426" t="s">
        <v>6310</v>
      </c>
      <c r="D426" s="8" t="s">
        <v>6311</v>
      </c>
    </row>
    <row r="427" spans="1:4" x14ac:dyDescent="0.35">
      <c r="A427" t="s">
        <v>517</v>
      </c>
      <c r="B427" s="8" t="s">
        <v>518</v>
      </c>
      <c r="C427" t="s">
        <v>6310</v>
      </c>
      <c r="D427" s="8" t="s">
        <v>6311</v>
      </c>
    </row>
    <row r="428" spans="1:4" x14ac:dyDescent="0.35">
      <c r="A428" t="s">
        <v>519</v>
      </c>
      <c r="B428" s="8" t="s">
        <v>520</v>
      </c>
      <c r="C428" t="s">
        <v>6310</v>
      </c>
      <c r="D428" s="8" t="s">
        <v>6311</v>
      </c>
    </row>
    <row r="429" spans="1:4" x14ac:dyDescent="0.35">
      <c r="A429" t="s">
        <v>521</v>
      </c>
      <c r="B429" s="8" t="s">
        <v>523</v>
      </c>
      <c r="C429" t="s">
        <v>6310</v>
      </c>
      <c r="D429" s="8" t="s">
        <v>6311</v>
      </c>
    </row>
    <row r="430" spans="1:4" x14ac:dyDescent="0.35">
      <c r="A430" t="s">
        <v>524</v>
      </c>
      <c r="B430" s="8" t="s">
        <v>525</v>
      </c>
      <c r="C430" t="s">
        <v>6310</v>
      </c>
      <c r="D430" s="8" t="s">
        <v>6311</v>
      </c>
    </row>
    <row r="431" spans="1:4" x14ac:dyDescent="0.35">
      <c r="A431" t="s">
        <v>526</v>
      </c>
      <c r="B431" s="8" t="s">
        <v>527</v>
      </c>
      <c r="C431" t="s">
        <v>6310</v>
      </c>
      <c r="D431" s="8" t="s">
        <v>6311</v>
      </c>
    </row>
    <row r="432" spans="1:4" x14ac:dyDescent="0.35">
      <c r="A432" t="s">
        <v>528</v>
      </c>
      <c r="B432" s="8" t="s">
        <v>529</v>
      </c>
      <c r="C432" t="s">
        <v>6310</v>
      </c>
      <c r="D432" s="8" t="s">
        <v>6311</v>
      </c>
    </row>
    <row r="433" spans="1:4" x14ac:dyDescent="0.35">
      <c r="A433" t="s">
        <v>530</v>
      </c>
      <c r="B433" s="8" t="s">
        <v>531</v>
      </c>
      <c r="C433" t="s">
        <v>6310</v>
      </c>
      <c r="D433" s="8" t="s">
        <v>6311</v>
      </c>
    </row>
    <row r="434" spans="1:4" x14ac:dyDescent="0.35">
      <c r="A434" t="s">
        <v>532</v>
      </c>
      <c r="B434" s="8" t="s">
        <v>533</v>
      </c>
      <c r="C434" t="s">
        <v>6310</v>
      </c>
      <c r="D434" s="8" t="s">
        <v>6311</v>
      </c>
    </row>
    <row r="435" spans="1:4" x14ac:dyDescent="0.35">
      <c r="A435" t="s">
        <v>534</v>
      </c>
      <c r="B435" s="8" t="s">
        <v>535</v>
      </c>
      <c r="C435" t="s">
        <v>6310</v>
      </c>
      <c r="D435" s="8" t="s">
        <v>6311</v>
      </c>
    </row>
    <row r="436" spans="1:4" x14ac:dyDescent="0.35">
      <c r="A436" t="s">
        <v>536</v>
      </c>
      <c r="B436" s="8" t="s">
        <v>537</v>
      </c>
      <c r="C436" t="s">
        <v>6310</v>
      </c>
      <c r="D436" s="8" t="s">
        <v>6311</v>
      </c>
    </row>
    <row r="437" spans="1:4" x14ac:dyDescent="0.35">
      <c r="A437" t="s">
        <v>538</v>
      </c>
      <c r="B437" s="8" t="s">
        <v>539</v>
      </c>
      <c r="C437" t="s">
        <v>6310</v>
      </c>
      <c r="D437" s="8" t="s">
        <v>6311</v>
      </c>
    </row>
    <row r="438" spans="1:4" x14ac:dyDescent="0.35">
      <c r="A438" t="s">
        <v>540</v>
      </c>
      <c r="B438" s="8" t="s">
        <v>541</v>
      </c>
      <c r="C438" t="s">
        <v>6310</v>
      </c>
      <c r="D438" s="8" t="s">
        <v>6311</v>
      </c>
    </row>
    <row r="439" spans="1:4" x14ac:dyDescent="0.35">
      <c r="A439" t="s">
        <v>542</v>
      </c>
      <c r="B439" s="8" t="s">
        <v>543</v>
      </c>
      <c r="C439" t="s">
        <v>6310</v>
      </c>
      <c r="D439" s="8" t="s">
        <v>6311</v>
      </c>
    </row>
    <row r="440" spans="1:4" x14ac:dyDescent="0.35">
      <c r="A440" t="s">
        <v>544</v>
      </c>
      <c r="B440" s="8" t="s">
        <v>545</v>
      </c>
      <c r="C440" t="s">
        <v>6310</v>
      </c>
      <c r="D440" s="8" t="s">
        <v>6311</v>
      </c>
    </row>
    <row r="441" spans="1:4" x14ac:dyDescent="0.35">
      <c r="A441" t="s">
        <v>546</v>
      </c>
      <c r="B441" s="8" t="s">
        <v>547</v>
      </c>
      <c r="C441" t="s">
        <v>6310</v>
      </c>
      <c r="D441" s="8" t="s">
        <v>6311</v>
      </c>
    </row>
    <row r="442" spans="1:4" x14ac:dyDescent="0.35">
      <c r="A442" t="s">
        <v>6312</v>
      </c>
      <c r="B442" s="8" t="s">
        <v>548</v>
      </c>
      <c r="C442" t="s">
        <v>6310</v>
      </c>
      <c r="D442" s="8" t="s">
        <v>6311</v>
      </c>
    </row>
    <row r="443" spans="1:4" x14ac:dyDescent="0.35">
      <c r="A443" t="s">
        <v>6313</v>
      </c>
      <c r="B443" s="8" t="s">
        <v>549</v>
      </c>
      <c r="C443" t="s">
        <v>6310</v>
      </c>
      <c r="D443" s="8" t="s">
        <v>6311</v>
      </c>
    </row>
    <row r="444" spans="1:4" x14ac:dyDescent="0.35">
      <c r="A444" t="s">
        <v>550</v>
      </c>
      <c r="B444" s="8" t="s">
        <v>551</v>
      </c>
      <c r="C444" t="s">
        <v>6310</v>
      </c>
      <c r="D444" s="8" t="s">
        <v>6311</v>
      </c>
    </row>
    <row r="445" spans="1:4" x14ac:dyDescent="0.35">
      <c r="A445" t="s">
        <v>552</v>
      </c>
      <c r="B445" s="8" t="s">
        <v>553</v>
      </c>
      <c r="C445" t="s">
        <v>6310</v>
      </c>
      <c r="D445" s="8" t="s">
        <v>6311</v>
      </c>
    </row>
    <row r="446" spans="1:4" x14ac:dyDescent="0.35">
      <c r="A446" t="s">
        <v>554</v>
      </c>
      <c r="B446" s="8" t="s">
        <v>555</v>
      </c>
      <c r="C446" t="s">
        <v>6310</v>
      </c>
      <c r="D446" s="8" t="s">
        <v>6311</v>
      </c>
    </row>
    <row r="447" spans="1:4" x14ac:dyDescent="0.35">
      <c r="A447" t="s">
        <v>556</v>
      </c>
      <c r="B447" s="8" t="s">
        <v>557</v>
      </c>
      <c r="C447" t="s">
        <v>6310</v>
      </c>
      <c r="D447" s="8" t="s">
        <v>6311</v>
      </c>
    </row>
    <row r="448" spans="1:4" x14ac:dyDescent="0.35">
      <c r="A448" t="s">
        <v>558</v>
      </c>
      <c r="B448" s="8" t="s">
        <v>559</v>
      </c>
      <c r="C448" t="s">
        <v>6310</v>
      </c>
      <c r="D448" s="8" t="s">
        <v>6311</v>
      </c>
    </row>
    <row r="449" spans="1:4" x14ac:dyDescent="0.35">
      <c r="A449" t="s">
        <v>560</v>
      </c>
      <c r="B449" s="8" t="s">
        <v>561</v>
      </c>
      <c r="C449" t="s">
        <v>6310</v>
      </c>
      <c r="D449" s="8" t="s">
        <v>6311</v>
      </c>
    </row>
    <row r="450" spans="1:4" x14ac:dyDescent="0.35">
      <c r="A450" t="s">
        <v>562</v>
      </c>
      <c r="B450" s="8" t="s">
        <v>6314</v>
      </c>
      <c r="C450" t="s">
        <v>6310</v>
      </c>
      <c r="D450" s="8" t="s">
        <v>6311</v>
      </c>
    </row>
    <row r="451" spans="1:4" x14ac:dyDescent="0.35">
      <c r="A451" t="s">
        <v>564</v>
      </c>
      <c r="B451" s="8" t="s">
        <v>565</v>
      </c>
      <c r="C451" t="s">
        <v>6310</v>
      </c>
      <c r="D451" s="8" t="s">
        <v>6311</v>
      </c>
    </row>
    <row r="452" spans="1:4" x14ac:dyDescent="0.35">
      <c r="A452" t="s">
        <v>566</v>
      </c>
      <c r="B452" s="8" t="s">
        <v>567</v>
      </c>
      <c r="C452" t="s">
        <v>6310</v>
      </c>
      <c r="D452" s="8" t="s">
        <v>6311</v>
      </c>
    </row>
    <row r="453" spans="1:4" x14ac:dyDescent="0.35">
      <c r="A453" t="s">
        <v>568</v>
      </c>
      <c r="B453" s="8" t="s">
        <v>569</v>
      </c>
      <c r="C453" t="s">
        <v>6310</v>
      </c>
      <c r="D453" s="8" t="s">
        <v>6311</v>
      </c>
    </row>
    <row r="454" spans="1:4" x14ac:dyDescent="0.35">
      <c r="A454" t="s">
        <v>570</v>
      </c>
      <c r="B454" s="8" t="s">
        <v>571</v>
      </c>
      <c r="C454" t="s">
        <v>6310</v>
      </c>
      <c r="D454" s="8" t="s">
        <v>6311</v>
      </c>
    </row>
    <row r="455" spans="1:4" x14ac:dyDescent="0.35">
      <c r="A455" t="s">
        <v>570</v>
      </c>
      <c r="B455" s="8" t="s">
        <v>571</v>
      </c>
      <c r="C455" t="s">
        <v>6315</v>
      </c>
      <c r="D455" s="8" t="s">
        <v>6316</v>
      </c>
    </row>
    <row r="456" spans="1:4" x14ac:dyDescent="0.35">
      <c r="A456" t="s">
        <v>6317</v>
      </c>
      <c r="B456" s="8" t="s">
        <v>572</v>
      </c>
      <c r="C456" t="s">
        <v>6310</v>
      </c>
      <c r="D456" s="8" t="s">
        <v>6311</v>
      </c>
    </row>
    <row r="457" spans="1:4" x14ac:dyDescent="0.35">
      <c r="A457" t="s">
        <v>573</v>
      </c>
      <c r="B457" s="8" t="s">
        <v>574</v>
      </c>
      <c r="C457" t="s">
        <v>6310</v>
      </c>
      <c r="D457" s="8" t="s">
        <v>6311</v>
      </c>
    </row>
    <row r="458" spans="1:4" x14ac:dyDescent="0.35">
      <c r="A458" t="s">
        <v>6318</v>
      </c>
      <c r="B458" s="8" t="s">
        <v>575</v>
      </c>
      <c r="C458" t="s">
        <v>6310</v>
      </c>
      <c r="D458" s="8" t="s">
        <v>6311</v>
      </c>
    </row>
    <row r="459" spans="1:4" x14ac:dyDescent="0.35">
      <c r="A459" t="s">
        <v>576</v>
      </c>
      <c r="B459" s="8" t="s">
        <v>577</v>
      </c>
      <c r="C459" t="s">
        <v>6319</v>
      </c>
      <c r="D459" s="8" t="s">
        <v>6320</v>
      </c>
    </row>
    <row r="460" spans="1:4" x14ac:dyDescent="0.35">
      <c r="A460" t="s">
        <v>576</v>
      </c>
      <c r="B460" s="8" t="s">
        <v>577</v>
      </c>
      <c r="C460" t="s">
        <v>6321</v>
      </c>
      <c r="D460" s="8" t="s">
        <v>6322</v>
      </c>
    </row>
    <row r="461" spans="1:4" x14ac:dyDescent="0.35">
      <c r="A461" t="s">
        <v>576</v>
      </c>
      <c r="B461" s="8" t="s">
        <v>577</v>
      </c>
      <c r="C461" t="s">
        <v>6323</v>
      </c>
      <c r="D461" s="8" t="s">
        <v>6324</v>
      </c>
    </row>
    <row r="462" spans="1:4" x14ac:dyDescent="0.35">
      <c r="A462" t="s">
        <v>576</v>
      </c>
      <c r="B462" s="8" t="s">
        <v>577</v>
      </c>
      <c r="C462" t="s">
        <v>6325</v>
      </c>
      <c r="D462" s="8" t="s">
        <v>6326</v>
      </c>
    </row>
    <row r="463" spans="1:4" x14ac:dyDescent="0.35">
      <c r="A463" t="s">
        <v>576</v>
      </c>
      <c r="B463" s="8" t="s">
        <v>577</v>
      </c>
      <c r="C463" t="s">
        <v>6327</v>
      </c>
      <c r="D463" s="8" t="s">
        <v>6328</v>
      </c>
    </row>
    <row r="464" spans="1:4" x14ac:dyDescent="0.35">
      <c r="A464" t="s">
        <v>576</v>
      </c>
      <c r="B464" s="8" t="s">
        <v>577</v>
      </c>
      <c r="C464" t="s">
        <v>6178</v>
      </c>
      <c r="D464" s="8" t="s">
        <v>6179</v>
      </c>
    </row>
    <row r="465" spans="1:4" x14ac:dyDescent="0.35">
      <c r="A465" t="s">
        <v>576</v>
      </c>
      <c r="B465" s="8" t="s">
        <v>577</v>
      </c>
      <c r="C465" t="s">
        <v>6329</v>
      </c>
      <c r="D465" s="8" t="s">
        <v>6330</v>
      </c>
    </row>
    <row r="466" spans="1:4" x14ac:dyDescent="0.35">
      <c r="A466" t="s">
        <v>576</v>
      </c>
      <c r="B466" s="8" t="s">
        <v>577</v>
      </c>
      <c r="C466" t="s">
        <v>6331</v>
      </c>
      <c r="D466" s="8" t="s">
        <v>6332</v>
      </c>
    </row>
    <row r="467" spans="1:4" x14ac:dyDescent="0.35">
      <c r="A467" t="s">
        <v>576</v>
      </c>
      <c r="B467" s="8" t="s">
        <v>577</v>
      </c>
      <c r="C467" t="s">
        <v>6333</v>
      </c>
      <c r="D467" s="8" t="s">
        <v>6334</v>
      </c>
    </row>
    <row r="468" spans="1:4" x14ac:dyDescent="0.35">
      <c r="A468" t="s">
        <v>578</v>
      </c>
      <c r="B468" s="8" t="s">
        <v>579</v>
      </c>
      <c r="C468" t="s">
        <v>6319</v>
      </c>
      <c r="D468" s="8" t="s">
        <v>6320</v>
      </c>
    </row>
    <row r="469" spans="1:4" x14ac:dyDescent="0.35">
      <c r="A469" t="s">
        <v>578</v>
      </c>
      <c r="B469" s="8" t="s">
        <v>579</v>
      </c>
      <c r="C469" t="s">
        <v>6325</v>
      </c>
      <c r="D469" s="8" t="s">
        <v>6326</v>
      </c>
    </row>
    <row r="470" spans="1:4" x14ac:dyDescent="0.35">
      <c r="A470" t="s">
        <v>578</v>
      </c>
      <c r="B470" s="8" t="s">
        <v>579</v>
      </c>
      <c r="C470" t="s">
        <v>6327</v>
      </c>
      <c r="D470" s="8" t="s">
        <v>6328</v>
      </c>
    </row>
    <row r="471" spans="1:4" x14ac:dyDescent="0.35">
      <c r="A471" t="s">
        <v>578</v>
      </c>
      <c r="B471" s="8" t="s">
        <v>579</v>
      </c>
      <c r="C471" t="s">
        <v>6329</v>
      </c>
      <c r="D471" s="8" t="s">
        <v>6330</v>
      </c>
    </row>
    <row r="472" spans="1:4" x14ac:dyDescent="0.35">
      <c r="A472" t="s">
        <v>578</v>
      </c>
      <c r="B472" s="8" t="s">
        <v>579</v>
      </c>
      <c r="C472" t="s">
        <v>6333</v>
      </c>
      <c r="D472" s="8" t="s">
        <v>6334</v>
      </c>
    </row>
    <row r="473" spans="1:4" x14ac:dyDescent="0.35">
      <c r="A473" t="s">
        <v>578</v>
      </c>
      <c r="B473" s="8" t="s">
        <v>579</v>
      </c>
      <c r="C473" t="s">
        <v>6335</v>
      </c>
      <c r="D473" s="8" t="s">
        <v>6336</v>
      </c>
    </row>
    <row r="474" spans="1:4" x14ac:dyDescent="0.35">
      <c r="A474" t="s">
        <v>580</v>
      </c>
      <c r="B474" s="8" t="s">
        <v>581</v>
      </c>
      <c r="C474" t="s">
        <v>6319</v>
      </c>
      <c r="D474" s="8" t="s">
        <v>6320</v>
      </c>
    </row>
    <row r="475" spans="1:4" x14ac:dyDescent="0.35">
      <c r="A475" t="s">
        <v>580</v>
      </c>
      <c r="B475" s="8" t="s">
        <v>581</v>
      </c>
      <c r="C475" t="s">
        <v>6325</v>
      </c>
      <c r="D475" s="8" t="s">
        <v>6326</v>
      </c>
    </row>
    <row r="476" spans="1:4" x14ac:dyDescent="0.35">
      <c r="A476" t="s">
        <v>580</v>
      </c>
      <c r="B476" s="8" t="s">
        <v>581</v>
      </c>
      <c r="C476" t="s">
        <v>6178</v>
      </c>
      <c r="D476" s="8" t="s">
        <v>6179</v>
      </c>
    </row>
    <row r="477" spans="1:4" x14ac:dyDescent="0.35">
      <c r="A477" t="s">
        <v>580</v>
      </c>
      <c r="B477" s="8" t="s">
        <v>581</v>
      </c>
      <c r="C477" t="s">
        <v>6331</v>
      </c>
      <c r="D477" s="8" t="s">
        <v>6332</v>
      </c>
    </row>
    <row r="478" spans="1:4" x14ac:dyDescent="0.35">
      <c r="A478" t="s">
        <v>580</v>
      </c>
      <c r="B478" s="8" t="s">
        <v>581</v>
      </c>
      <c r="C478" t="s">
        <v>6333</v>
      </c>
      <c r="D478" s="8" t="s">
        <v>6334</v>
      </c>
    </row>
    <row r="479" spans="1:4" x14ac:dyDescent="0.35">
      <c r="A479" t="s">
        <v>582</v>
      </c>
      <c r="B479" s="8" t="s">
        <v>583</v>
      </c>
      <c r="C479" t="s">
        <v>6163</v>
      </c>
      <c r="D479" s="8" t="s">
        <v>6164</v>
      </c>
    </row>
    <row r="480" spans="1:4" x14ac:dyDescent="0.35">
      <c r="A480" t="s">
        <v>584</v>
      </c>
      <c r="B480" s="8" t="s">
        <v>585</v>
      </c>
      <c r="C480" t="s">
        <v>6325</v>
      </c>
      <c r="D480" s="8" t="s">
        <v>6326</v>
      </c>
    </row>
    <row r="481" spans="1:4" x14ac:dyDescent="0.35">
      <c r="A481" t="s">
        <v>584</v>
      </c>
      <c r="B481" s="8" t="s">
        <v>585</v>
      </c>
      <c r="C481" t="s">
        <v>6178</v>
      </c>
      <c r="D481" s="8" t="s">
        <v>6179</v>
      </c>
    </row>
    <row r="482" spans="1:4" x14ac:dyDescent="0.35">
      <c r="A482" t="s">
        <v>584</v>
      </c>
      <c r="B482" s="8" t="s">
        <v>585</v>
      </c>
      <c r="C482" t="s">
        <v>6331</v>
      </c>
      <c r="D482" s="8" t="s">
        <v>6332</v>
      </c>
    </row>
    <row r="483" spans="1:4" x14ac:dyDescent="0.35">
      <c r="A483" t="s">
        <v>584</v>
      </c>
      <c r="B483" s="8" t="s">
        <v>585</v>
      </c>
      <c r="C483" t="s">
        <v>6333</v>
      </c>
      <c r="D483" s="8" t="s">
        <v>6334</v>
      </c>
    </row>
    <row r="484" spans="1:4" x14ac:dyDescent="0.35">
      <c r="A484" t="s">
        <v>584</v>
      </c>
      <c r="B484" s="8" t="s">
        <v>585</v>
      </c>
      <c r="C484" t="s">
        <v>6337</v>
      </c>
      <c r="D484" s="8" t="s">
        <v>6338</v>
      </c>
    </row>
    <row r="485" spans="1:4" x14ac:dyDescent="0.35">
      <c r="A485" t="s">
        <v>586</v>
      </c>
      <c r="B485" s="8" t="s">
        <v>587</v>
      </c>
      <c r="C485" t="s">
        <v>6325</v>
      </c>
      <c r="D485" s="8" t="s">
        <v>6326</v>
      </c>
    </row>
    <row r="486" spans="1:4" x14ac:dyDescent="0.35">
      <c r="A486" t="s">
        <v>586</v>
      </c>
      <c r="B486" s="8" t="s">
        <v>587</v>
      </c>
      <c r="C486" t="s">
        <v>6327</v>
      </c>
      <c r="D486" s="8" t="s">
        <v>6328</v>
      </c>
    </row>
    <row r="487" spans="1:4" x14ac:dyDescent="0.35">
      <c r="A487" t="s">
        <v>586</v>
      </c>
      <c r="B487" s="8" t="s">
        <v>587</v>
      </c>
      <c r="C487" t="s">
        <v>6178</v>
      </c>
      <c r="D487" s="8" t="s">
        <v>6179</v>
      </c>
    </row>
    <row r="488" spans="1:4" x14ac:dyDescent="0.35">
      <c r="A488" t="s">
        <v>586</v>
      </c>
      <c r="B488" s="8" t="s">
        <v>587</v>
      </c>
      <c r="C488" t="s">
        <v>6331</v>
      </c>
      <c r="D488" s="8" t="s">
        <v>6332</v>
      </c>
    </row>
    <row r="489" spans="1:4" x14ac:dyDescent="0.35">
      <c r="A489" t="s">
        <v>586</v>
      </c>
      <c r="B489" s="8" t="s">
        <v>587</v>
      </c>
      <c r="C489" t="s">
        <v>6333</v>
      </c>
      <c r="D489" s="8" t="s">
        <v>6334</v>
      </c>
    </row>
    <row r="490" spans="1:4" x14ac:dyDescent="0.35">
      <c r="A490" t="s">
        <v>588</v>
      </c>
      <c r="B490" s="8" t="s">
        <v>589</v>
      </c>
      <c r="C490" t="s">
        <v>6178</v>
      </c>
      <c r="D490" s="8" t="s">
        <v>6179</v>
      </c>
    </row>
    <row r="491" spans="1:4" x14ac:dyDescent="0.35">
      <c r="A491" t="s">
        <v>588</v>
      </c>
      <c r="B491" s="8" t="s">
        <v>589</v>
      </c>
      <c r="C491" t="s">
        <v>6339</v>
      </c>
      <c r="D491" s="8" t="s">
        <v>6340</v>
      </c>
    </row>
    <row r="492" spans="1:4" x14ac:dyDescent="0.35">
      <c r="A492" t="s">
        <v>588</v>
      </c>
      <c r="B492" s="8" t="s">
        <v>589</v>
      </c>
      <c r="C492" t="s">
        <v>6341</v>
      </c>
      <c r="D492" s="8" t="s">
        <v>6342</v>
      </c>
    </row>
    <row r="493" spans="1:4" x14ac:dyDescent="0.35">
      <c r="A493" t="s">
        <v>6343</v>
      </c>
      <c r="B493" s="8" t="s">
        <v>590</v>
      </c>
      <c r="C493" t="s">
        <v>6325</v>
      </c>
      <c r="D493" s="8" t="s">
        <v>6326</v>
      </c>
    </row>
    <row r="494" spans="1:4" x14ac:dyDescent="0.35">
      <c r="A494" t="s">
        <v>6343</v>
      </c>
      <c r="B494" s="8" t="s">
        <v>590</v>
      </c>
      <c r="C494" t="s">
        <v>6178</v>
      </c>
      <c r="D494" s="8" t="s">
        <v>6179</v>
      </c>
    </row>
    <row r="495" spans="1:4" x14ac:dyDescent="0.35">
      <c r="A495" t="s">
        <v>6344</v>
      </c>
      <c r="B495" s="8" t="s">
        <v>591</v>
      </c>
      <c r="C495" t="s">
        <v>6325</v>
      </c>
      <c r="D495" s="8" t="s">
        <v>6326</v>
      </c>
    </row>
    <row r="496" spans="1:4" x14ac:dyDescent="0.35">
      <c r="A496" t="s">
        <v>6344</v>
      </c>
      <c r="B496" s="8" t="s">
        <v>591</v>
      </c>
      <c r="C496" t="s">
        <v>6178</v>
      </c>
      <c r="D496" s="8" t="s">
        <v>6179</v>
      </c>
    </row>
    <row r="497" spans="1:4" x14ac:dyDescent="0.35">
      <c r="A497" t="s">
        <v>6345</v>
      </c>
      <c r="B497" s="8" t="s">
        <v>592</v>
      </c>
      <c r="C497" t="s">
        <v>6325</v>
      </c>
      <c r="D497" s="8" t="s">
        <v>6326</v>
      </c>
    </row>
    <row r="498" spans="1:4" x14ac:dyDescent="0.35">
      <c r="A498" t="s">
        <v>6345</v>
      </c>
      <c r="B498" s="8" t="s">
        <v>592</v>
      </c>
      <c r="C498" t="s">
        <v>6178</v>
      </c>
      <c r="D498" s="8" t="s">
        <v>6179</v>
      </c>
    </row>
    <row r="499" spans="1:4" x14ac:dyDescent="0.35">
      <c r="A499" t="s">
        <v>593</v>
      </c>
      <c r="B499" s="8" t="s">
        <v>594</v>
      </c>
      <c r="C499" t="s">
        <v>6325</v>
      </c>
      <c r="D499" s="8" t="s">
        <v>6326</v>
      </c>
    </row>
    <row r="500" spans="1:4" x14ac:dyDescent="0.35">
      <c r="A500" t="s">
        <v>593</v>
      </c>
      <c r="B500" s="8" t="s">
        <v>594</v>
      </c>
      <c r="C500" t="s">
        <v>6178</v>
      </c>
      <c r="D500" s="8" t="s">
        <v>6179</v>
      </c>
    </row>
    <row r="501" spans="1:4" x14ac:dyDescent="0.35">
      <c r="A501" t="s">
        <v>595</v>
      </c>
      <c r="B501" s="8" t="s">
        <v>596</v>
      </c>
      <c r="C501" t="s">
        <v>6325</v>
      </c>
      <c r="D501" s="8" t="s">
        <v>6326</v>
      </c>
    </row>
    <row r="502" spans="1:4" x14ac:dyDescent="0.35">
      <c r="A502" t="s">
        <v>595</v>
      </c>
      <c r="B502" s="8" t="s">
        <v>596</v>
      </c>
      <c r="C502" t="s">
        <v>6346</v>
      </c>
      <c r="D502" s="8" t="s">
        <v>6347</v>
      </c>
    </row>
    <row r="503" spans="1:4" x14ac:dyDescent="0.35">
      <c r="A503" t="s">
        <v>595</v>
      </c>
      <c r="B503" s="8" t="s">
        <v>596</v>
      </c>
      <c r="C503" t="s">
        <v>6327</v>
      </c>
      <c r="D503" s="8" t="s">
        <v>6328</v>
      </c>
    </row>
    <row r="504" spans="1:4" x14ac:dyDescent="0.35">
      <c r="A504" t="s">
        <v>595</v>
      </c>
      <c r="B504" s="8" t="s">
        <v>596</v>
      </c>
      <c r="C504" t="s">
        <v>6178</v>
      </c>
      <c r="D504" s="8" t="s">
        <v>6179</v>
      </c>
    </row>
    <row r="505" spans="1:4" x14ac:dyDescent="0.35">
      <c r="A505" t="s">
        <v>595</v>
      </c>
      <c r="B505" s="8" t="s">
        <v>596</v>
      </c>
      <c r="C505" t="s">
        <v>6341</v>
      </c>
      <c r="D505" s="8" t="s">
        <v>6342</v>
      </c>
    </row>
    <row r="506" spans="1:4" x14ac:dyDescent="0.35">
      <c r="A506" t="s">
        <v>597</v>
      </c>
      <c r="B506" s="8" t="s">
        <v>598</v>
      </c>
      <c r="C506" t="s">
        <v>6243</v>
      </c>
      <c r="D506" s="8" t="s">
        <v>6244</v>
      </c>
    </row>
    <row r="507" spans="1:4" x14ac:dyDescent="0.35">
      <c r="A507" t="s">
        <v>597</v>
      </c>
      <c r="B507" s="8" t="s">
        <v>598</v>
      </c>
      <c r="C507" t="s">
        <v>6348</v>
      </c>
      <c r="D507" s="8" t="s">
        <v>6349</v>
      </c>
    </row>
    <row r="508" spans="1:4" x14ac:dyDescent="0.35">
      <c r="A508" t="s">
        <v>597</v>
      </c>
      <c r="B508" s="8" t="s">
        <v>598</v>
      </c>
      <c r="C508" t="s">
        <v>6325</v>
      </c>
      <c r="D508" s="8" t="s">
        <v>6326</v>
      </c>
    </row>
    <row r="509" spans="1:4" x14ac:dyDescent="0.35">
      <c r="A509" t="s">
        <v>597</v>
      </c>
      <c r="B509" s="8" t="s">
        <v>598</v>
      </c>
      <c r="C509" t="s">
        <v>6335</v>
      </c>
      <c r="D509" s="8" t="s">
        <v>6336</v>
      </c>
    </row>
    <row r="510" spans="1:4" x14ac:dyDescent="0.35">
      <c r="A510" t="s">
        <v>599</v>
      </c>
      <c r="B510" s="8" t="s">
        <v>600</v>
      </c>
      <c r="C510" t="s">
        <v>6163</v>
      </c>
      <c r="D510" s="8" t="s">
        <v>6164</v>
      </c>
    </row>
    <row r="511" spans="1:4" x14ac:dyDescent="0.35">
      <c r="A511" t="s">
        <v>601</v>
      </c>
      <c r="B511" s="8" t="s">
        <v>602</v>
      </c>
      <c r="C511" t="s">
        <v>6350</v>
      </c>
      <c r="D511" s="8" t="s">
        <v>6351</v>
      </c>
    </row>
    <row r="512" spans="1:4" x14ac:dyDescent="0.35">
      <c r="A512" t="s">
        <v>601</v>
      </c>
      <c r="B512" s="8" t="s">
        <v>602</v>
      </c>
      <c r="C512" t="s">
        <v>6319</v>
      </c>
      <c r="D512" s="8" t="s">
        <v>6320</v>
      </c>
    </row>
    <row r="513" spans="1:4" x14ac:dyDescent="0.35">
      <c r="A513" t="s">
        <v>601</v>
      </c>
      <c r="B513" s="8" t="s">
        <v>602</v>
      </c>
      <c r="C513" t="s">
        <v>6321</v>
      </c>
      <c r="D513" s="8" t="s">
        <v>6322</v>
      </c>
    </row>
    <row r="514" spans="1:4" x14ac:dyDescent="0.35">
      <c r="A514" t="s">
        <v>601</v>
      </c>
      <c r="B514" s="8" t="s">
        <v>602</v>
      </c>
      <c r="C514" t="s">
        <v>6323</v>
      </c>
      <c r="D514" s="8" t="s">
        <v>6324</v>
      </c>
    </row>
    <row r="515" spans="1:4" x14ac:dyDescent="0.35">
      <c r="A515" t="s">
        <v>601</v>
      </c>
      <c r="B515" s="8" t="s">
        <v>602</v>
      </c>
      <c r="C515" t="s">
        <v>6325</v>
      </c>
      <c r="D515" s="8" t="s">
        <v>6326</v>
      </c>
    </row>
    <row r="516" spans="1:4" x14ac:dyDescent="0.35">
      <c r="A516" t="s">
        <v>601</v>
      </c>
      <c r="B516" s="8" t="s">
        <v>602</v>
      </c>
      <c r="C516" t="s">
        <v>6329</v>
      </c>
      <c r="D516" s="8" t="s">
        <v>6330</v>
      </c>
    </row>
    <row r="517" spans="1:4" x14ac:dyDescent="0.35">
      <c r="A517" t="s">
        <v>603</v>
      </c>
      <c r="B517" s="8" t="s">
        <v>604</v>
      </c>
      <c r="C517" t="s">
        <v>6352</v>
      </c>
      <c r="D517" s="8" t="s">
        <v>6353</v>
      </c>
    </row>
    <row r="518" spans="1:4" x14ac:dyDescent="0.35">
      <c r="A518" t="s">
        <v>603</v>
      </c>
      <c r="B518" s="8" t="s">
        <v>604</v>
      </c>
      <c r="C518" t="s">
        <v>6354</v>
      </c>
      <c r="D518" s="8" t="s">
        <v>6355</v>
      </c>
    </row>
    <row r="519" spans="1:4" x14ac:dyDescent="0.35">
      <c r="A519" t="s">
        <v>603</v>
      </c>
      <c r="B519" s="8" t="s">
        <v>604</v>
      </c>
      <c r="C519" t="s">
        <v>6356</v>
      </c>
      <c r="D519" s="8" t="s">
        <v>6357</v>
      </c>
    </row>
    <row r="520" spans="1:4" x14ac:dyDescent="0.35">
      <c r="A520" t="s">
        <v>605</v>
      </c>
      <c r="B520" s="8" t="s">
        <v>606</v>
      </c>
      <c r="C520" t="s">
        <v>6350</v>
      </c>
      <c r="D520" s="8" t="s">
        <v>6351</v>
      </c>
    </row>
    <row r="521" spans="1:4" x14ac:dyDescent="0.35">
      <c r="A521" t="s">
        <v>605</v>
      </c>
      <c r="B521" s="8" t="s">
        <v>606</v>
      </c>
      <c r="C521" t="s">
        <v>6319</v>
      </c>
      <c r="D521" s="8" t="s">
        <v>6320</v>
      </c>
    </row>
    <row r="522" spans="1:4" x14ac:dyDescent="0.35">
      <c r="A522" t="s">
        <v>605</v>
      </c>
      <c r="B522" s="8" t="s">
        <v>606</v>
      </c>
      <c r="C522" t="s">
        <v>6321</v>
      </c>
      <c r="D522" s="8" t="s">
        <v>6322</v>
      </c>
    </row>
    <row r="523" spans="1:4" x14ac:dyDescent="0.35">
      <c r="A523" t="s">
        <v>605</v>
      </c>
      <c r="B523" s="8" t="s">
        <v>606</v>
      </c>
      <c r="C523" t="s">
        <v>6323</v>
      </c>
      <c r="D523" s="8" t="s">
        <v>6324</v>
      </c>
    </row>
    <row r="524" spans="1:4" x14ac:dyDescent="0.35">
      <c r="A524" t="s">
        <v>605</v>
      </c>
      <c r="B524" s="8" t="s">
        <v>606</v>
      </c>
      <c r="C524" t="s">
        <v>6325</v>
      </c>
      <c r="D524" s="8" t="s">
        <v>6326</v>
      </c>
    </row>
    <row r="525" spans="1:4" x14ac:dyDescent="0.35">
      <c r="A525" t="s">
        <v>605</v>
      </c>
      <c r="B525" s="8" t="s">
        <v>606</v>
      </c>
      <c r="C525" t="s">
        <v>6329</v>
      </c>
      <c r="D525" s="8" t="s">
        <v>6330</v>
      </c>
    </row>
    <row r="526" spans="1:4" x14ac:dyDescent="0.35">
      <c r="A526" t="s">
        <v>607</v>
      </c>
      <c r="B526" s="8" t="s">
        <v>608</v>
      </c>
      <c r="C526" t="s">
        <v>6350</v>
      </c>
      <c r="D526" s="8" t="s">
        <v>6351</v>
      </c>
    </row>
    <row r="527" spans="1:4" x14ac:dyDescent="0.35">
      <c r="A527" t="s">
        <v>607</v>
      </c>
      <c r="B527" s="8" t="s">
        <v>608</v>
      </c>
      <c r="C527" t="s">
        <v>6325</v>
      </c>
      <c r="D527" s="8" t="s">
        <v>6326</v>
      </c>
    </row>
    <row r="528" spans="1:4" x14ac:dyDescent="0.35">
      <c r="A528" t="s">
        <v>609</v>
      </c>
      <c r="B528" s="8" t="s">
        <v>610</v>
      </c>
      <c r="C528" t="s">
        <v>6319</v>
      </c>
      <c r="D528" s="8" t="s">
        <v>6320</v>
      </c>
    </row>
    <row r="529" spans="1:4" x14ac:dyDescent="0.35">
      <c r="A529" t="s">
        <v>609</v>
      </c>
      <c r="B529" s="8" t="s">
        <v>610</v>
      </c>
      <c r="C529" t="s">
        <v>6323</v>
      </c>
      <c r="D529" s="8" t="s">
        <v>6324</v>
      </c>
    </row>
    <row r="530" spans="1:4" x14ac:dyDescent="0.35">
      <c r="A530" t="s">
        <v>609</v>
      </c>
      <c r="B530" s="8" t="s">
        <v>610</v>
      </c>
      <c r="C530" t="s">
        <v>6325</v>
      </c>
      <c r="D530" s="8" t="s">
        <v>6326</v>
      </c>
    </row>
    <row r="531" spans="1:4" x14ac:dyDescent="0.35">
      <c r="A531" t="s">
        <v>609</v>
      </c>
      <c r="B531" s="8" t="s">
        <v>610</v>
      </c>
      <c r="C531" t="s">
        <v>6178</v>
      </c>
      <c r="D531" s="8" t="s">
        <v>6179</v>
      </c>
    </row>
    <row r="532" spans="1:4" x14ac:dyDescent="0.35">
      <c r="A532" t="s">
        <v>609</v>
      </c>
      <c r="B532" s="8" t="s">
        <v>610</v>
      </c>
      <c r="C532" t="s">
        <v>6329</v>
      </c>
      <c r="D532" s="8" t="s">
        <v>6330</v>
      </c>
    </row>
    <row r="533" spans="1:4" x14ac:dyDescent="0.35">
      <c r="A533" t="s">
        <v>611</v>
      </c>
      <c r="B533" s="8" t="s">
        <v>612</v>
      </c>
      <c r="C533" t="s">
        <v>6358</v>
      </c>
      <c r="D533" s="8" t="s">
        <v>6359</v>
      </c>
    </row>
    <row r="534" spans="1:4" x14ac:dyDescent="0.35">
      <c r="A534" t="s">
        <v>611</v>
      </c>
      <c r="B534" s="8" t="s">
        <v>612</v>
      </c>
      <c r="C534" t="s">
        <v>6360</v>
      </c>
      <c r="D534" s="8" t="s">
        <v>6361</v>
      </c>
    </row>
    <row r="535" spans="1:4" x14ac:dyDescent="0.35">
      <c r="A535" t="s">
        <v>611</v>
      </c>
      <c r="B535" s="8" t="s">
        <v>612</v>
      </c>
      <c r="C535" t="s">
        <v>6325</v>
      </c>
      <c r="D535" s="8" t="s">
        <v>6326</v>
      </c>
    </row>
    <row r="536" spans="1:4" x14ac:dyDescent="0.35">
      <c r="A536" t="s">
        <v>611</v>
      </c>
      <c r="B536" s="8" t="s">
        <v>612</v>
      </c>
      <c r="C536" t="s">
        <v>6329</v>
      </c>
      <c r="D536" s="8" t="s">
        <v>6330</v>
      </c>
    </row>
    <row r="537" spans="1:4" x14ac:dyDescent="0.35">
      <c r="A537" t="s">
        <v>613</v>
      </c>
      <c r="B537" s="8" t="s">
        <v>614</v>
      </c>
      <c r="C537" t="s">
        <v>6362</v>
      </c>
      <c r="D537" s="8" t="s">
        <v>6363</v>
      </c>
    </row>
    <row r="538" spans="1:4" x14ac:dyDescent="0.35">
      <c r="A538" t="s">
        <v>613</v>
      </c>
      <c r="B538" s="8" t="s">
        <v>614</v>
      </c>
      <c r="C538" t="s">
        <v>6325</v>
      </c>
      <c r="D538" s="8" t="s">
        <v>6326</v>
      </c>
    </row>
    <row r="539" spans="1:4" x14ac:dyDescent="0.35">
      <c r="A539" t="s">
        <v>613</v>
      </c>
      <c r="B539" s="8" t="s">
        <v>614</v>
      </c>
      <c r="C539" t="s">
        <v>6364</v>
      </c>
      <c r="D539" s="8" t="s">
        <v>6365</v>
      </c>
    </row>
    <row r="540" spans="1:4" x14ac:dyDescent="0.35">
      <c r="A540" t="s">
        <v>613</v>
      </c>
      <c r="B540" s="8" t="s">
        <v>614</v>
      </c>
      <c r="C540" t="s">
        <v>6327</v>
      </c>
      <c r="D540" s="8" t="s">
        <v>6328</v>
      </c>
    </row>
    <row r="541" spans="1:4" x14ac:dyDescent="0.35">
      <c r="A541" t="s">
        <v>613</v>
      </c>
      <c r="B541" s="8" t="s">
        <v>614</v>
      </c>
      <c r="C541" t="s">
        <v>6178</v>
      </c>
      <c r="D541" s="8" t="s">
        <v>6179</v>
      </c>
    </row>
    <row r="542" spans="1:4" x14ac:dyDescent="0.35">
      <c r="A542" t="s">
        <v>613</v>
      </c>
      <c r="B542" s="8" t="s">
        <v>614</v>
      </c>
      <c r="C542" t="s">
        <v>6329</v>
      </c>
      <c r="D542" s="8" t="s">
        <v>6330</v>
      </c>
    </row>
    <row r="543" spans="1:4" x14ac:dyDescent="0.35">
      <c r="A543" t="s">
        <v>615</v>
      </c>
      <c r="B543" s="8" t="s">
        <v>616</v>
      </c>
      <c r="C543" t="s">
        <v>6319</v>
      </c>
      <c r="D543" s="8" t="s">
        <v>6320</v>
      </c>
    </row>
    <row r="544" spans="1:4" x14ac:dyDescent="0.35">
      <c r="A544" t="s">
        <v>615</v>
      </c>
      <c r="B544" s="8" t="s">
        <v>616</v>
      </c>
      <c r="C544" t="s">
        <v>6325</v>
      </c>
      <c r="D544" s="8" t="s">
        <v>6326</v>
      </c>
    </row>
    <row r="545" spans="1:4" x14ac:dyDescent="0.35">
      <c r="A545" t="s">
        <v>615</v>
      </c>
      <c r="B545" s="8" t="s">
        <v>616</v>
      </c>
      <c r="C545" t="s">
        <v>6178</v>
      </c>
      <c r="D545" s="8" t="s">
        <v>6179</v>
      </c>
    </row>
    <row r="546" spans="1:4" x14ac:dyDescent="0.35">
      <c r="A546" t="s">
        <v>615</v>
      </c>
      <c r="B546" s="8" t="s">
        <v>616</v>
      </c>
      <c r="C546" t="s">
        <v>6329</v>
      </c>
      <c r="D546" s="8" t="s">
        <v>6330</v>
      </c>
    </row>
    <row r="547" spans="1:4" x14ac:dyDescent="0.35">
      <c r="A547" t="s">
        <v>617</v>
      </c>
      <c r="B547" s="8" t="s">
        <v>618</v>
      </c>
      <c r="C547" t="s">
        <v>6325</v>
      </c>
      <c r="D547" s="8" t="s">
        <v>6326</v>
      </c>
    </row>
    <row r="548" spans="1:4" x14ac:dyDescent="0.35">
      <c r="A548" t="s">
        <v>617</v>
      </c>
      <c r="B548" s="8" t="s">
        <v>618</v>
      </c>
      <c r="C548" t="s">
        <v>6331</v>
      </c>
      <c r="D548" s="8" t="s">
        <v>6332</v>
      </c>
    </row>
    <row r="549" spans="1:4" x14ac:dyDescent="0.35">
      <c r="A549" t="s">
        <v>617</v>
      </c>
      <c r="B549" s="8" t="s">
        <v>618</v>
      </c>
      <c r="C549" t="s">
        <v>6366</v>
      </c>
      <c r="D549" s="8" t="s">
        <v>6367</v>
      </c>
    </row>
    <row r="550" spans="1:4" x14ac:dyDescent="0.35">
      <c r="A550" t="s">
        <v>6368</v>
      </c>
      <c r="B550" s="8" t="s">
        <v>619</v>
      </c>
      <c r="C550" t="s">
        <v>6319</v>
      </c>
      <c r="D550" s="8" t="s">
        <v>6320</v>
      </c>
    </row>
    <row r="551" spans="1:4" x14ac:dyDescent="0.35">
      <c r="A551" t="s">
        <v>6368</v>
      </c>
      <c r="B551" s="8" t="s">
        <v>619</v>
      </c>
      <c r="C551" t="s">
        <v>6321</v>
      </c>
      <c r="D551" s="8" t="s">
        <v>6322</v>
      </c>
    </row>
    <row r="552" spans="1:4" x14ac:dyDescent="0.35">
      <c r="A552" t="s">
        <v>620</v>
      </c>
      <c r="B552" s="8" t="s">
        <v>622</v>
      </c>
      <c r="C552" t="s">
        <v>6163</v>
      </c>
      <c r="D552" s="8" t="s">
        <v>6164</v>
      </c>
    </row>
    <row r="553" spans="1:4" x14ac:dyDescent="0.35">
      <c r="A553" t="s">
        <v>623</v>
      </c>
      <c r="B553" s="8" t="s">
        <v>624</v>
      </c>
      <c r="C553" t="s">
        <v>6331</v>
      </c>
      <c r="D553" s="8" t="s">
        <v>6332</v>
      </c>
    </row>
    <row r="554" spans="1:4" x14ac:dyDescent="0.35">
      <c r="A554" t="s">
        <v>625</v>
      </c>
      <c r="B554" s="8" t="s">
        <v>626</v>
      </c>
      <c r="C554" t="s">
        <v>6325</v>
      </c>
      <c r="D554" s="8" t="s">
        <v>6326</v>
      </c>
    </row>
    <row r="555" spans="1:4" x14ac:dyDescent="0.35">
      <c r="A555" t="s">
        <v>625</v>
      </c>
      <c r="B555" s="8" t="s">
        <v>626</v>
      </c>
      <c r="C555" t="s">
        <v>6331</v>
      </c>
      <c r="D555" s="8" t="s">
        <v>6332</v>
      </c>
    </row>
    <row r="556" spans="1:4" x14ac:dyDescent="0.35">
      <c r="A556" t="s">
        <v>625</v>
      </c>
      <c r="B556" s="8" t="s">
        <v>626</v>
      </c>
      <c r="C556" t="s">
        <v>6333</v>
      </c>
      <c r="D556" s="8" t="s">
        <v>6334</v>
      </c>
    </row>
    <row r="557" spans="1:4" x14ac:dyDescent="0.35">
      <c r="A557" t="s">
        <v>627</v>
      </c>
      <c r="B557" s="8" t="s">
        <v>628</v>
      </c>
      <c r="C557" t="s">
        <v>6335</v>
      </c>
      <c r="D557" s="8" t="s">
        <v>6336</v>
      </c>
    </row>
    <row r="558" spans="1:4" x14ac:dyDescent="0.35">
      <c r="A558" t="s">
        <v>627</v>
      </c>
      <c r="B558" s="8" t="s">
        <v>628</v>
      </c>
      <c r="C558" t="s">
        <v>6369</v>
      </c>
      <c r="D558" s="8" t="s">
        <v>6370</v>
      </c>
    </row>
    <row r="559" spans="1:4" x14ac:dyDescent="0.35">
      <c r="A559" t="s">
        <v>627</v>
      </c>
      <c r="B559" s="8" t="s">
        <v>628</v>
      </c>
      <c r="C559" t="s">
        <v>6371</v>
      </c>
      <c r="D559" s="8" t="s">
        <v>6372</v>
      </c>
    </row>
    <row r="560" spans="1:4" x14ac:dyDescent="0.35">
      <c r="A560" t="s">
        <v>627</v>
      </c>
      <c r="B560" s="8" t="s">
        <v>628</v>
      </c>
      <c r="C560" t="s">
        <v>6341</v>
      </c>
      <c r="D560" s="8" t="s">
        <v>6342</v>
      </c>
    </row>
    <row r="561" spans="1:4" x14ac:dyDescent="0.35">
      <c r="A561" t="s">
        <v>629</v>
      </c>
      <c r="B561" s="8" t="s">
        <v>631</v>
      </c>
      <c r="C561" t="s">
        <v>6180</v>
      </c>
      <c r="D561" s="8" t="s">
        <v>6181</v>
      </c>
    </row>
    <row r="562" spans="1:4" x14ac:dyDescent="0.35">
      <c r="A562" t="s">
        <v>629</v>
      </c>
      <c r="B562" s="8" t="s">
        <v>631</v>
      </c>
      <c r="C562" t="s">
        <v>6373</v>
      </c>
      <c r="D562" s="8" t="s">
        <v>6374</v>
      </c>
    </row>
    <row r="563" spans="1:4" x14ac:dyDescent="0.35">
      <c r="A563" t="s">
        <v>632</v>
      </c>
      <c r="B563" s="8" t="s">
        <v>633</v>
      </c>
      <c r="C563" t="s">
        <v>6369</v>
      </c>
      <c r="D563" s="8" t="s">
        <v>6370</v>
      </c>
    </row>
    <row r="564" spans="1:4" x14ac:dyDescent="0.35">
      <c r="A564" t="s">
        <v>632</v>
      </c>
      <c r="B564" s="8" t="s">
        <v>633</v>
      </c>
      <c r="C564" t="s">
        <v>6373</v>
      </c>
      <c r="D564" s="8" t="s">
        <v>6374</v>
      </c>
    </row>
    <row r="565" spans="1:4" x14ac:dyDescent="0.35">
      <c r="A565" t="s">
        <v>632</v>
      </c>
      <c r="B565" s="8" t="s">
        <v>633</v>
      </c>
      <c r="C565" t="s">
        <v>6375</v>
      </c>
      <c r="D565" s="8" t="s">
        <v>6376</v>
      </c>
    </row>
    <row r="566" spans="1:4" x14ac:dyDescent="0.35">
      <c r="A566" t="s">
        <v>632</v>
      </c>
      <c r="B566" s="8" t="s">
        <v>633</v>
      </c>
      <c r="C566" t="s">
        <v>6341</v>
      </c>
      <c r="D566" s="8" t="s">
        <v>6342</v>
      </c>
    </row>
    <row r="567" spans="1:4" x14ac:dyDescent="0.35">
      <c r="A567" t="s">
        <v>634</v>
      </c>
      <c r="B567" s="8" t="s">
        <v>635</v>
      </c>
      <c r="C567" t="s">
        <v>6377</v>
      </c>
      <c r="D567" s="8" t="s">
        <v>6378</v>
      </c>
    </row>
    <row r="568" spans="1:4" x14ac:dyDescent="0.35">
      <c r="A568" t="s">
        <v>634</v>
      </c>
      <c r="B568" s="8" t="s">
        <v>635</v>
      </c>
      <c r="C568" t="s">
        <v>6180</v>
      </c>
      <c r="D568" s="8" t="s">
        <v>6181</v>
      </c>
    </row>
    <row r="569" spans="1:4" x14ac:dyDescent="0.35">
      <c r="A569" t="s">
        <v>634</v>
      </c>
      <c r="B569" s="8" t="s">
        <v>635</v>
      </c>
      <c r="C569" t="s">
        <v>6371</v>
      </c>
      <c r="D569" s="8" t="s">
        <v>6372</v>
      </c>
    </row>
    <row r="570" spans="1:4" x14ac:dyDescent="0.35">
      <c r="A570" t="s">
        <v>6379</v>
      </c>
      <c r="B570" s="8" t="s">
        <v>636</v>
      </c>
      <c r="C570" t="s">
        <v>6380</v>
      </c>
      <c r="D570" s="8" t="s">
        <v>6381</v>
      </c>
    </row>
    <row r="571" spans="1:4" x14ac:dyDescent="0.35">
      <c r="A571" t="s">
        <v>637</v>
      </c>
      <c r="B571" s="8" t="s">
        <v>638</v>
      </c>
      <c r="C571" t="s">
        <v>6369</v>
      </c>
      <c r="D571" s="8" t="s">
        <v>6370</v>
      </c>
    </row>
    <row r="572" spans="1:4" x14ac:dyDescent="0.35">
      <c r="A572" t="s">
        <v>637</v>
      </c>
      <c r="B572" s="8" t="s">
        <v>638</v>
      </c>
      <c r="C572" t="s">
        <v>6375</v>
      </c>
      <c r="D572" s="8" t="s">
        <v>6376</v>
      </c>
    </row>
    <row r="573" spans="1:4" x14ac:dyDescent="0.35">
      <c r="A573" t="s">
        <v>637</v>
      </c>
      <c r="B573" s="8" t="s">
        <v>638</v>
      </c>
      <c r="C573" t="s">
        <v>6341</v>
      </c>
      <c r="D573" s="8" t="s">
        <v>6342</v>
      </c>
    </row>
    <row r="574" spans="1:4" x14ac:dyDescent="0.35">
      <c r="A574" t="s">
        <v>639</v>
      </c>
      <c r="B574" s="8" t="s">
        <v>640</v>
      </c>
      <c r="C574" t="s">
        <v>6382</v>
      </c>
      <c r="D574" s="8" t="s">
        <v>6383</v>
      </c>
    </row>
    <row r="575" spans="1:4" x14ac:dyDescent="0.35">
      <c r="A575" t="s">
        <v>641</v>
      </c>
      <c r="B575" s="8" t="s">
        <v>642</v>
      </c>
      <c r="C575" t="s">
        <v>6382</v>
      </c>
      <c r="D575" s="8" t="s">
        <v>6383</v>
      </c>
    </row>
    <row r="576" spans="1:4" x14ac:dyDescent="0.35">
      <c r="A576" t="s">
        <v>641</v>
      </c>
      <c r="B576" s="8" t="s">
        <v>642</v>
      </c>
      <c r="C576" t="s">
        <v>6384</v>
      </c>
      <c r="D576" s="8" t="s">
        <v>6385</v>
      </c>
    </row>
    <row r="577" spans="1:4" x14ac:dyDescent="0.35">
      <c r="A577" t="s">
        <v>643</v>
      </c>
      <c r="B577" s="8" t="s">
        <v>644</v>
      </c>
      <c r="C577" t="s">
        <v>6386</v>
      </c>
      <c r="D577" s="8" t="s">
        <v>6387</v>
      </c>
    </row>
    <row r="578" spans="1:4" x14ac:dyDescent="0.35">
      <c r="A578" t="s">
        <v>643</v>
      </c>
      <c r="B578" s="8" t="s">
        <v>644</v>
      </c>
      <c r="C578" t="s">
        <v>6382</v>
      </c>
      <c r="D578" s="8" t="s">
        <v>6383</v>
      </c>
    </row>
    <row r="579" spans="1:4" x14ac:dyDescent="0.35">
      <c r="A579" t="s">
        <v>645</v>
      </c>
      <c r="B579" s="8" t="s">
        <v>647</v>
      </c>
      <c r="C579" t="s">
        <v>6388</v>
      </c>
      <c r="D579" s="8" t="s">
        <v>6389</v>
      </c>
    </row>
    <row r="580" spans="1:4" x14ac:dyDescent="0.35">
      <c r="A580" t="s">
        <v>648</v>
      </c>
      <c r="B580" s="8" t="s">
        <v>649</v>
      </c>
      <c r="C580" t="s">
        <v>6390</v>
      </c>
      <c r="D580" s="8" t="s">
        <v>6391</v>
      </c>
    </row>
    <row r="581" spans="1:4" x14ac:dyDescent="0.35">
      <c r="A581" t="s">
        <v>648</v>
      </c>
      <c r="B581" s="8" t="s">
        <v>649</v>
      </c>
      <c r="C581" t="s">
        <v>6382</v>
      </c>
      <c r="D581" s="8" t="s">
        <v>6383</v>
      </c>
    </row>
    <row r="582" spans="1:4" x14ac:dyDescent="0.35">
      <c r="A582" t="s">
        <v>648</v>
      </c>
      <c r="B582" s="8" t="s">
        <v>649</v>
      </c>
      <c r="C582" t="s">
        <v>6384</v>
      </c>
      <c r="D582" s="8" t="s">
        <v>6385</v>
      </c>
    </row>
    <row r="583" spans="1:4" x14ac:dyDescent="0.35">
      <c r="A583" t="s">
        <v>650</v>
      </c>
      <c r="B583" s="8" t="s">
        <v>651</v>
      </c>
      <c r="C583" t="s">
        <v>6382</v>
      </c>
      <c r="D583" s="8" t="s">
        <v>6383</v>
      </c>
    </row>
    <row r="584" spans="1:4" x14ac:dyDescent="0.35">
      <c r="A584" t="s">
        <v>652</v>
      </c>
      <c r="B584" s="8" t="s">
        <v>653</v>
      </c>
      <c r="C584" t="s">
        <v>6382</v>
      </c>
      <c r="D584" s="8" t="s">
        <v>6383</v>
      </c>
    </row>
    <row r="585" spans="1:4" x14ac:dyDescent="0.35">
      <c r="A585" t="s">
        <v>652</v>
      </c>
      <c r="B585" s="8" t="s">
        <v>653</v>
      </c>
      <c r="C585" t="s">
        <v>6384</v>
      </c>
      <c r="D585" s="8" t="s">
        <v>6385</v>
      </c>
    </row>
    <row r="586" spans="1:4" x14ac:dyDescent="0.35">
      <c r="A586" t="s">
        <v>654</v>
      </c>
      <c r="B586" s="8" t="s">
        <v>655</v>
      </c>
      <c r="C586" t="s">
        <v>6386</v>
      </c>
      <c r="D586" s="8" t="s">
        <v>6387</v>
      </c>
    </row>
    <row r="587" spans="1:4" x14ac:dyDescent="0.35">
      <c r="A587" t="s">
        <v>654</v>
      </c>
      <c r="B587" s="8" t="s">
        <v>655</v>
      </c>
      <c r="C587" t="s">
        <v>6382</v>
      </c>
      <c r="D587" s="8" t="s">
        <v>6383</v>
      </c>
    </row>
    <row r="588" spans="1:4" x14ac:dyDescent="0.35">
      <c r="A588" t="s">
        <v>656</v>
      </c>
      <c r="B588" s="8" t="s">
        <v>657</v>
      </c>
      <c r="C588" t="s">
        <v>6382</v>
      </c>
      <c r="D588" s="8" t="s">
        <v>6383</v>
      </c>
    </row>
    <row r="589" spans="1:4" x14ac:dyDescent="0.35">
      <c r="A589" t="s">
        <v>656</v>
      </c>
      <c r="B589" s="8" t="s">
        <v>657</v>
      </c>
      <c r="C589" t="s">
        <v>6384</v>
      </c>
      <c r="D589" s="8" t="s">
        <v>6385</v>
      </c>
    </row>
    <row r="590" spans="1:4" x14ac:dyDescent="0.35">
      <c r="A590" t="s">
        <v>656</v>
      </c>
      <c r="B590" s="8" t="s">
        <v>657</v>
      </c>
      <c r="C590" t="s">
        <v>6392</v>
      </c>
      <c r="D590" s="8" t="s">
        <v>6393</v>
      </c>
    </row>
    <row r="591" spans="1:4" x14ac:dyDescent="0.35">
      <c r="A591" t="s">
        <v>658</v>
      </c>
      <c r="B591" s="8" t="s">
        <v>659</v>
      </c>
      <c r="C591" t="s">
        <v>6163</v>
      </c>
      <c r="D591" s="8" t="s">
        <v>6164</v>
      </c>
    </row>
    <row r="592" spans="1:4" x14ac:dyDescent="0.35">
      <c r="A592" t="s">
        <v>660</v>
      </c>
      <c r="B592" s="8" t="s">
        <v>661</v>
      </c>
      <c r="C592" t="s">
        <v>6394</v>
      </c>
      <c r="D592" s="8" t="s">
        <v>6395</v>
      </c>
    </row>
    <row r="593" spans="1:4" x14ac:dyDescent="0.35">
      <c r="A593" t="s">
        <v>660</v>
      </c>
      <c r="B593" s="8" t="s">
        <v>661</v>
      </c>
      <c r="C593" t="s">
        <v>6396</v>
      </c>
      <c r="D593" s="8" t="s">
        <v>6397</v>
      </c>
    </row>
    <row r="594" spans="1:4" x14ac:dyDescent="0.35">
      <c r="A594" t="s">
        <v>660</v>
      </c>
      <c r="B594" s="8" t="s">
        <v>661</v>
      </c>
      <c r="C594" t="s">
        <v>6398</v>
      </c>
      <c r="D594" s="8" t="s">
        <v>6399</v>
      </c>
    </row>
    <row r="595" spans="1:4" x14ac:dyDescent="0.35">
      <c r="A595" t="s">
        <v>660</v>
      </c>
      <c r="B595" s="8" t="s">
        <v>661</v>
      </c>
      <c r="C595" t="s">
        <v>6400</v>
      </c>
      <c r="D595" s="8" t="s">
        <v>6401</v>
      </c>
    </row>
    <row r="596" spans="1:4" x14ac:dyDescent="0.35">
      <c r="A596" t="s">
        <v>660</v>
      </c>
      <c r="B596" s="8" t="s">
        <v>661</v>
      </c>
      <c r="C596" t="s">
        <v>6402</v>
      </c>
      <c r="D596" s="8" t="s">
        <v>6403</v>
      </c>
    </row>
    <row r="597" spans="1:4" x14ac:dyDescent="0.35">
      <c r="A597" t="s">
        <v>660</v>
      </c>
      <c r="B597" s="8" t="s">
        <v>661</v>
      </c>
      <c r="C597" t="s">
        <v>6404</v>
      </c>
      <c r="D597" s="8" t="s">
        <v>6405</v>
      </c>
    </row>
    <row r="598" spans="1:4" x14ac:dyDescent="0.35">
      <c r="A598" t="s">
        <v>660</v>
      </c>
      <c r="B598" s="8" t="s">
        <v>661</v>
      </c>
      <c r="C598" t="s">
        <v>6406</v>
      </c>
      <c r="D598" s="8" t="s">
        <v>6407</v>
      </c>
    </row>
    <row r="599" spans="1:4" x14ac:dyDescent="0.35">
      <c r="A599" t="s">
        <v>660</v>
      </c>
      <c r="B599" s="8" t="s">
        <v>661</v>
      </c>
      <c r="C599" t="s">
        <v>6408</v>
      </c>
      <c r="D599" s="8" t="s">
        <v>6409</v>
      </c>
    </row>
    <row r="600" spans="1:4" x14ac:dyDescent="0.35">
      <c r="A600" t="s">
        <v>660</v>
      </c>
      <c r="B600" s="8" t="s">
        <v>661</v>
      </c>
      <c r="C600" t="s">
        <v>6348</v>
      </c>
      <c r="D600" s="8" t="s">
        <v>6349</v>
      </c>
    </row>
    <row r="601" spans="1:4" x14ac:dyDescent="0.35">
      <c r="A601" t="s">
        <v>660</v>
      </c>
      <c r="B601" s="8" t="s">
        <v>661</v>
      </c>
      <c r="C601" t="s">
        <v>6410</v>
      </c>
      <c r="D601" s="8" t="s">
        <v>6411</v>
      </c>
    </row>
    <row r="602" spans="1:4" x14ac:dyDescent="0.35">
      <c r="A602" t="s">
        <v>660</v>
      </c>
      <c r="B602" s="8" t="s">
        <v>661</v>
      </c>
      <c r="C602" t="s">
        <v>6412</v>
      </c>
      <c r="D602" s="8" t="s">
        <v>6413</v>
      </c>
    </row>
    <row r="603" spans="1:4" x14ac:dyDescent="0.35">
      <c r="A603" t="s">
        <v>662</v>
      </c>
      <c r="B603" s="8" t="s">
        <v>663</v>
      </c>
      <c r="C603" t="s">
        <v>6398</v>
      </c>
      <c r="D603" s="8" t="s">
        <v>6399</v>
      </c>
    </row>
    <row r="604" spans="1:4" x14ac:dyDescent="0.35">
      <c r="A604" t="s">
        <v>662</v>
      </c>
      <c r="B604" s="8" t="s">
        <v>663</v>
      </c>
      <c r="C604" t="s">
        <v>6414</v>
      </c>
      <c r="D604" s="8" t="s">
        <v>6415</v>
      </c>
    </row>
    <row r="605" spans="1:4" x14ac:dyDescent="0.35">
      <c r="A605" t="s">
        <v>662</v>
      </c>
      <c r="B605" s="8" t="s">
        <v>663</v>
      </c>
      <c r="C605" t="s">
        <v>6416</v>
      </c>
      <c r="D605" s="8" t="s">
        <v>6417</v>
      </c>
    </row>
    <row r="606" spans="1:4" x14ac:dyDescent="0.35">
      <c r="A606" t="s">
        <v>662</v>
      </c>
      <c r="B606" s="8" t="s">
        <v>663</v>
      </c>
      <c r="C606" t="s">
        <v>6412</v>
      </c>
      <c r="D606" s="8" t="s">
        <v>6413</v>
      </c>
    </row>
    <row r="607" spans="1:4" x14ac:dyDescent="0.35">
      <c r="A607" t="s">
        <v>664</v>
      </c>
      <c r="B607" s="8" t="s">
        <v>665</v>
      </c>
      <c r="C607" t="s">
        <v>6394</v>
      </c>
      <c r="D607" s="8" t="s">
        <v>6395</v>
      </c>
    </row>
    <row r="608" spans="1:4" x14ac:dyDescent="0.35">
      <c r="A608" t="s">
        <v>664</v>
      </c>
      <c r="B608" s="8" t="s">
        <v>665</v>
      </c>
      <c r="C608" t="s">
        <v>6396</v>
      </c>
      <c r="D608" s="8" t="s">
        <v>6397</v>
      </c>
    </row>
    <row r="609" spans="1:4" x14ac:dyDescent="0.35">
      <c r="A609" t="s">
        <v>664</v>
      </c>
      <c r="B609" s="8" t="s">
        <v>665</v>
      </c>
      <c r="C609" t="s">
        <v>6418</v>
      </c>
      <c r="D609" s="8" t="s">
        <v>6419</v>
      </c>
    </row>
    <row r="610" spans="1:4" x14ac:dyDescent="0.35">
      <c r="A610" t="s">
        <v>664</v>
      </c>
      <c r="B610" s="8" t="s">
        <v>665</v>
      </c>
      <c r="C610" t="s">
        <v>6398</v>
      </c>
      <c r="D610" s="8" t="s">
        <v>6399</v>
      </c>
    </row>
    <row r="611" spans="1:4" x14ac:dyDescent="0.35">
      <c r="A611" t="s">
        <v>664</v>
      </c>
      <c r="B611" s="8" t="s">
        <v>665</v>
      </c>
      <c r="C611" t="s">
        <v>6400</v>
      </c>
      <c r="D611" s="8" t="s">
        <v>6401</v>
      </c>
    </row>
    <row r="612" spans="1:4" x14ac:dyDescent="0.35">
      <c r="A612" t="s">
        <v>664</v>
      </c>
      <c r="B612" s="8" t="s">
        <v>665</v>
      </c>
      <c r="C612" t="s">
        <v>6404</v>
      </c>
      <c r="D612" s="8" t="s">
        <v>6405</v>
      </c>
    </row>
    <row r="613" spans="1:4" x14ac:dyDescent="0.35">
      <c r="A613" t="s">
        <v>664</v>
      </c>
      <c r="B613" s="8" t="s">
        <v>665</v>
      </c>
      <c r="C613" t="s">
        <v>6414</v>
      </c>
      <c r="D613" s="8" t="s">
        <v>6415</v>
      </c>
    </row>
    <row r="614" spans="1:4" x14ac:dyDescent="0.35">
      <c r="A614" t="s">
        <v>664</v>
      </c>
      <c r="B614" s="8" t="s">
        <v>665</v>
      </c>
      <c r="C614" t="s">
        <v>6408</v>
      </c>
      <c r="D614" s="8" t="s">
        <v>6409</v>
      </c>
    </row>
    <row r="615" spans="1:4" x14ac:dyDescent="0.35">
      <c r="A615" t="s">
        <v>664</v>
      </c>
      <c r="B615" s="8" t="s">
        <v>665</v>
      </c>
      <c r="C615" t="s">
        <v>6416</v>
      </c>
      <c r="D615" s="8" t="s">
        <v>6417</v>
      </c>
    </row>
    <row r="616" spans="1:4" x14ac:dyDescent="0.35">
      <c r="A616" t="s">
        <v>666</v>
      </c>
      <c r="B616" s="8" t="s">
        <v>667</v>
      </c>
      <c r="C616" t="s">
        <v>6398</v>
      </c>
      <c r="D616" s="8" t="s">
        <v>6399</v>
      </c>
    </row>
    <row r="617" spans="1:4" x14ac:dyDescent="0.35">
      <c r="A617" t="s">
        <v>666</v>
      </c>
      <c r="B617" s="8" t="s">
        <v>667</v>
      </c>
      <c r="C617" t="s">
        <v>6414</v>
      </c>
      <c r="D617" s="8" t="s">
        <v>6415</v>
      </c>
    </row>
    <row r="618" spans="1:4" x14ac:dyDescent="0.35">
      <c r="A618" t="s">
        <v>666</v>
      </c>
      <c r="B618" s="8" t="s">
        <v>667</v>
      </c>
      <c r="C618" t="s">
        <v>6408</v>
      </c>
      <c r="D618" s="8" t="s">
        <v>6409</v>
      </c>
    </row>
    <row r="619" spans="1:4" x14ac:dyDescent="0.35">
      <c r="A619" t="s">
        <v>666</v>
      </c>
      <c r="B619" s="8" t="s">
        <v>667</v>
      </c>
      <c r="C619" t="s">
        <v>6348</v>
      </c>
      <c r="D619" s="8" t="s">
        <v>6349</v>
      </c>
    </row>
    <row r="620" spans="1:4" x14ac:dyDescent="0.35">
      <c r="A620" t="s">
        <v>6420</v>
      </c>
      <c r="B620" s="8" t="s">
        <v>668</v>
      </c>
      <c r="C620" t="s">
        <v>6348</v>
      </c>
      <c r="D620" s="8" t="s">
        <v>6349</v>
      </c>
    </row>
    <row r="621" spans="1:4" x14ac:dyDescent="0.35">
      <c r="A621" t="s">
        <v>669</v>
      </c>
      <c r="B621" s="8" t="s">
        <v>670</v>
      </c>
      <c r="C621" t="s">
        <v>6398</v>
      </c>
      <c r="D621" s="8" t="s">
        <v>6399</v>
      </c>
    </row>
    <row r="622" spans="1:4" x14ac:dyDescent="0.35">
      <c r="A622" t="s">
        <v>669</v>
      </c>
      <c r="B622" s="8" t="s">
        <v>670</v>
      </c>
      <c r="C622" t="s">
        <v>6412</v>
      </c>
      <c r="D622" s="8" t="s">
        <v>6413</v>
      </c>
    </row>
    <row r="623" spans="1:4" x14ac:dyDescent="0.35">
      <c r="A623" t="s">
        <v>671</v>
      </c>
      <c r="B623" s="8" t="s">
        <v>672</v>
      </c>
      <c r="C623" t="s">
        <v>6421</v>
      </c>
      <c r="D623" s="8" t="s">
        <v>6422</v>
      </c>
    </row>
    <row r="624" spans="1:4" x14ac:dyDescent="0.35">
      <c r="A624" t="s">
        <v>671</v>
      </c>
      <c r="B624" s="8" t="s">
        <v>672</v>
      </c>
      <c r="C624" t="s">
        <v>6423</v>
      </c>
      <c r="D624" s="8" t="s">
        <v>6424</v>
      </c>
    </row>
    <row r="625" spans="1:4" x14ac:dyDescent="0.35">
      <c r="A625" t="s">
        <v>671</v>
      </c>
      <c r="B625" s="8" t="s">
        <v>672</v>
      </c>
      <c r="C625" t="s">
        <v>6414</v>
      </c>
      <c r="D625" s="8" t="s">
        <v>6415</v>
      </c>
    </row>
    <row r="626" spans="1:4" x14ac:dyDescent="0.35">
      <c r="A626" t="s">
        <v>671</v>
      </c>
      <c r="B626" s="8" t="s">
        <v>672</v>
      </c>
      <c r="C626" t="s">
        <v>6408</v>
      </c>
      <c r="D626" s="8" t="s">
        <v>6409</v>
      </c>
    </row>
    <row r="627" spans="1:4" x14ac:dyDescent="0.35">
      <c r="A627" t="s">
        <v>671</v>
      </c>
      <c r="B627" s="8" t="s">
        <v>672</v>
      </c>
      <c r="C627" t="s">
        <v>6425</v>
      </c>
      <c r="D627" s="8" t="s">
        <v>6426</v>
      </c>
    </row>
    <row r="628" spans="1:4" x14ac:dyDescent="0.35">
      <c r="A628" t="s">
        <v>671</v>
      </c>
      <c r="B628" s="8" t="s">
        <v>672</v>
      </c>
      <c r="C628" t="s">
        <v>6348</v>
      </c>
      <c r="D628" s="8" t="s">
        <v>6349</v>
      </c>
    </row>
    <row r="629" spans="1:4" x14ac:dyDescent="0.35">
      <c r="A629" t="s">
        <v>671</v>
      </c>
      <c r="B629" s="8" t="s">
        <v>672</v>
      </c>
      <c r="C629" t="s">
        <v>6412</v>
      </c>
      <c r="D629" s="8" t="s">
        <v>6413</v>
      </c>
    </row>
    <row r="630" spans="1:4" x14ac:dyDescent="0.35">
      <c r="A630" t="s">
        <v>673</v>
      </c>
      <c r="B630" s="8" t="s">
        <v>674</v>
      </c>
      <c r="C630" t="s">
        <v>6423</v>
      </c>
      <c r="D630" s="8" t="s">
        <v>6424</v>
      </c>
    </row>
    <row r="631" spans="1:4" x14ac:dyDescent="0.35">
      <c r="A631" t="s">
        <v>673</v>
      </c>
      <c r="B631" s="8" t="s">
        <v>674</v>
      </c>
      <c r="C631" t="s">
        <v>6414</v>
      </c>
      <c r="D631" s="8" t="s">
        <v>6415</v>
      </c>
    </row>
    <row r="632" spans="1:4" x14ac:dyDescent="0.35">
      <c r="A632" t="s">
        <v>673</v>
      </c>
      <c r="B632" s="8" t="s">
        <v>674</v>
      </c>
      <c r="C632" t="s">
        <v>6408</v>
      </c>
      <c r="D632" s="8" t="s">
        <v>6409</v>
      </c>
    </row>
    <row r="633" spans="1:4" x14ac:dyDescent="0.35">
      <c r="A633" t="s">
        <v>675</v>
      </c>
      <c r="B633" s="8" t="s">
        <v>676</v>
      </c>
      <c r="C633" t="s">
        <v>6423</v>
      </c>
      <c r="D633" s="8" t="s">
        <v>6424</v>
      </c>
    </row>
    <row r="634" spans="1:4" x14ac:dyDescent="0.35">
      <c r="A634" t="s">
        <v>675</v>
      </c>
      <c r="B634" s="8" t="s">
        <v>676</v>
      </c>
      <c r="C634" t="s">
        <v>6414</v>
      </c>
      <c r="D634" s="8" t="s">
        <v>6415</v>
      </c>
    </row>
    <row r="635" spans="1:4" x14ac:dyDescent="0.35">
      <c r="A635" t="s">
        <v>675</v>
      </c>
      <c r="B635" s="8" t="s">
        <v>676</v>
      </c>
      <c r="C635" t="s">
        <v>6408</v>
      </c>
      <c r="D635" s="8" t="s">
        <v>6409</v>
      </c>
    </row>
    <row r="636" spans="1:4" x14ac:dyDescent="0.35">
      <c r="A636" t="s">
        <v>6427</v>
      </c>
      <c r="B636" s="8" t="s">
        <v>677</v>
      </c>
      <c r="C636" t="s">
        <v>6423</v>
      </c>
      <c r="D636" s="8" t="s">
        <v>6424</v>
      </c>
    </row>
    <row r="637" spans="1:4" x14ac:dyDescent="0.35">
      <c r="A637" t="s">
        <v>6427</v>
      </c>
      <c r="B637" s="8" t="s">
        <v>677</v>
      </c>
      <c r="C637" t="s">
        <v>6414</v>
      </c>
      <c r="D637" s="8" t="s">
        <v>6415</v>
      </c>
    </row>
    <row r="638" spans="1:4" x14ac:dyDescent="0.35">
      <c r="A638" t="s">
        <v>6427</v>
      </c>
      <c r="B638" s="8" t="s">
        <v>677</v>
      </c>
      <c r="C638" t="s">
        <v>6408</v>
      </c>
      <c r="D638" s="8" t="s">
        <v>6409</v>
      </c>
    </row>
    <row r="639" spans="1:4" x14ac:dyDescent="0.35">
      <c r="A639" t="s">
        <v>6428</v>
      </c>
      <c r="B639" s="8" t="s">
        <v>678</v>
      </c>
      <c r="C639" t="s">
        <v>6423</v>
      </c>
      <c r="D639" s="8" t="s">
        <v>6424</v>
      </c>
    </row>
    <row r="640" spans="1:4" x14ac:dyDescent="0.35">
      <c r="A640" t="s">
        <v>6428</v>
      </c>
      <c r="B640" s="8" t="s">
        <v>678</v>
      </c>
      <c r="C640" t="s">
        <v>6414</v>
      </c>
      <c r="D640" s="8" t="s">
        <v>6415</v>
      </c>
    </row>
    <row r="641" spans="1:4" x14ac:dyDescent="0.35">
      <c r="A641" t="s">
        <v>6428</v>
      </c>
      <c r="B641" s="8" t="s">
        <v>678</v>
      </c>
      <c r="C641" t="s">
        <v>6408</v>
      </c>
      <c r="D641" s="8" t="s">
        <v>6409</v>
      </c>
    </row>
    <row r="642" spans="1:4" x14ac:dyDescent="0.35">
      <c r="A642" t="s">
        <v>679</v>
      </c>
      <c r="B642" s="8" t="s">
        <v>680</v>
      </c>
      <c r="C642" t="s">
        <v>6423</v>
      </c>
      <c r="D642" s="8" t="s">
        <v>6424</v>
      </c>
    </row>
    <row r="643" spans="1:4" x14ac:dyDescent="0.35">
      <c r="A643" t="s">
        <v>681</v>
      </c>
      <c r="B643" s="8" t="s">
        <v>682</v>
      </c>
      <c r="C643" t="s">
        <v>6410</v>
      </c>
      <c r="D643" s="8" t="s">
        <v>6411</v>
      </c>
    </row>
    <row r="644" spans="1:4" x14ac:dyDescent="0.35">
      <c r="A644" t="s">
        <v>683</v>
      </c>
      <c r="B644" s="8" t="s">
        <v>684</v>
      </c>
      <c r="C644" t="s">
        <v>6394</v>
      </c>
      <c r="D644" s="8" t="s">
        <v>6395</v>
      </c>
    </row>
    <row r="645" spans="1:4" x14ac:dyDescent="0.35">
      <c r="A645" t="s">
        <v>683</v>
      </c>
      <c r="B645" s="8" t="s">
        <v>684</v>
      </c>
      <c r="C645" t="s">
        <v>6398</v>
      </c>
      <c r="D645" s="8" t="s">
        <v>6399</v>
      </c>
    </row>
    <row r="646" spans="1:4" x14ac:dyDescent="0.35">
      <c r="A646" t="s">
        <v>683</v>
      </c>
      <c r="B646" s="8" t="s">
        <v>684</v>
      </c>
      <c r="C646" t="s">
        <v>6404</v>
      </c>
      <c r="D646" s="8" t="s">
        <v>6405</v>
      </c>
    </row>
    <row r="647" spans="1:4" x14ac:dyDescent="0.35">
      <c r="A647" t="s">
        <v>683</v>
      </c>
      <c r="B647" s="8" t="s">
        <v>684</v>
      </c>
      <c r="C647" t="s">
        <v>6414</v>
      </c>
      <c r="D647" s="8" t="s">
        <v>6415</v>
      </c>
    </row>
    <row r="648" spans="1:4" x14ac:dyDescent="0.35">
      <c r="A648" t="s">
        <v>683</v>
      </c>
      <c r="B648" s="8" t="s">
        <v>684</v>
      </c>
      <c r="C648" t="s">
        <v>6348</v>
      </c>
      <c r="D648" s="8" t="s">
        <v>6349</v>
      </c>
    </row>
    <row r="649" spans="1:4" x14ac:dyDescent="0.35">
      <c r="A649" t="s">
        <v>683</v>
      </c>
      <c r="B649" s="8" t="s">
        <v>684</v>
      </c>
      <c r="C649" t="s">
        <v>6410</v>
      </c>
      <c r="D649" s="8" t="s">
        <v>6411</v>
      </c>
    </row>
    <row r="650" spans="1:4" x14ac:dyDescent="0.35">
      <c r="A650" t="s">
        <v>683</v>
      </c>
      <c r="B650" s="8" t="s">
        <v>684</v>
      </c>
      <c r="C650" t="s">
        <v>6412</v>
      </c>
      <c r="D650" s="8" t="s">
        <v>6413</v>
      </c>
    </row>
    <row r="651" spans="1:4" x14ac:dyDescent="0.35">
      <c r="A651" t="s">
        <v>685</v>
      </c>
      <c r="B651" s="8" t="s">
        <v>686</v>
      </c>
      <c r="C651" t="s">
        <v>6396</v>
      </c>
      <c r="D651" s="8" t="s">
        <v>6397</v>
      </c>
    </row>
    <row r="652" spans="1:4" x14ac:dyDescent="0.35">
      <c r="A652" t="s">
        <v>685</v>
      </c>
      <c r="B652" s="8" t="s">
        <v>686</v>
      </c>
      <c r="C652" t="s">
        <v>6421</v>
      </c>
      <c r="D652" s="8" t="s">
        <v>6422</v>
      </c>
    </row>
    <row r="653" spans="1:4" x14ac:dyDescent="0.35">
      <c r="A653" t="s">
        <v>685</v>
      </c>
      <c r="B653" s="8" t="s">
        <v>686</v>
      </c>
      <c r="C653" t="s">
        <v>6400</v>
      </c>
      <c r="D653" s="8" t="s">
        <v>6401</v>
      </c>
    </row>
    <row r="654" spans="1:4" x14ac:dyDescent="0.35">
      <c r="A654" t="s">
        <v>685</v>
      </c>
      <c r="B654" s="8" t="s">
        <v>686</v>
      </c>
      <c r="C654" t="s">
        <v>6404</v>
      </c>
      <c r="D654" s="8" t="s">
        <v>6405</v>
      </c>
    </row>
    <row r="655" spans="1:4" x14ac:dyDescent="0.35">
      <c r="A655" t="s">
        <v>685</v>
      </c>
      <c r="B655" s="8" t="s">
        <v>686</v>
      </c>
      <c r="C655" t="s">
        <v>6408</v>
      </c>
      <c r="D655" s="8" t="s">
        <v>6409</v>
      </c>
    </row>
    <row r="656" spans="1:4" x14ac:dyDescent="0.35">
      <c r="A656" t="s">
        <v>685</v>
      </c>
      <c r="B656" s="8" t="s">
        <v>686</v>
      </c>
      <c r="C656" t="s">
        <v>6412</v>
      </c>
      <c r="D656" s="8" t="s">
        <v>6413</v>
      </c>
    </row>
    <row r="657" spans="1:4" x14ac:dyDescent="0.35">
      <c r="A657" t="s">
        <v>687</v>
      </c>
      <c r="B657" s="8" t="s">
        <v>688</v>
      </c>
      <c r="C657" t="s">
        <v>6390</v>
      </c>
      <c r="D657" s="8" t="s">
        <v>6391</v>
      </c>
    </row>
    <row r="658" spans="1:4" x14ac:dyDescent="0.35">
      <c r="A658" t="s">
        <v>689</v>
      </c>
      <c r="B658" s="8" t="s">
        <v>690</v>
      </c>
      <c r="C658" t="s">
        <v>6429</v>
      </c>
      <c r="D658" s="8" t="s">
        <v>6430</v>
      </c>
    </row>
    <row r="659" spans="1:4" x14ac:dyDescent="0.35">
      <c r="A659" t="s">
        <v>691</v>
      </c>
      <c r="B659" s="8" t="s">
        <v>692</v>
      </c>
      <c r="C659" t="s">
        <v>6163</v>
      </c>
      <c r="D659" s="8" t="s">
        <v>6164</v>
      </c>
    </row>
    <row r="660" spans="1:4" x14ac:dyDescent="0.35">
      <c r="A660" t="s">
        <v>693</v>
      </c>
      <c r="B660" s="8" t="s">
        <v>694</v>
      </c>
      <c r="C660" t="s">
        <v>6394</v>
      </c>
      <c r="D660" s="8" t="s">
        <v>6395</v>
      </c>
    </row>
    <row r="661" spans="1:4" x14ac:dyDescent="0.35">
      <c r="A661" t="s">
        <v>693</v>
      </c>
      <c r="B661" s="8" t="s">
        <v>694</v>
      </c>
      <c r="C661" t="s">
        <v>6418</v>
      </c>
      <c r="D661" s="8" t="s">
        <v>6419</v>
      </c>
    </row>
    <row r="662" spans="1:4" x14ac:dyDescent="0.35">
      <c r="A662" t="s">
        <v>693</v>
      </c>
      <c r="B662" s="8" t="s">
        <v>694</v>
      </c>
      <c r="C662" t="s">
        <v>6398</v>
      </c>
      <c r="D662" s="8" t="s">
        <v>6399</v>
      </c>
    </row>
    <row r="663" spans="1:4" x14ac:dyDescent="0.35">
      <c r="A663" t="s">
        <v>693</v>
      </c>
      <c r="B663" s="8" t="s">
        <v>694</v>
      </c>
      <c r="C663" t="s">
        <v>6421</v>
      </c>
      <c r="D663" s="8" t="s">
        <v>6422</v>
      </c>
    </row>
    <row r="664" spans="1:4" x14ac:dyDescent="0.35">
      <c r="A664" t="s">
        <v>693</v>
      </c>
      <c r="B664" s="8" t="s">
        <v>694</v>
      </c>
      <c r="C664" t="s">
        <v>6404</v>
      </c>
      <c r="D664" s="8" t="s">
        <v>6405</v>
      </c>
    </row>
    <row r="665" spans="1:4" x14ac:dyDescent="0.35">
      <c r="A665" t="s">
        <v>693</v>
      </c>
      <c r="B665" s="8" t="s">
        <v>694</v>
      </c>
      <c r="C665" t="s">
        <v>6423</v>
      </c>
      <c r="D665" s="8" t="s">
        <v>6424</v>
      </c>
    </row>
    <row r="666" spans="1:4" x14ac:dyDescent="0.35">
      <c r="A666" t="s">
        <v>693</v>
      </c>
      <c r="B666" s="8" t="s">
        <v>694</v>
      </c>
      <c r="C666" t="s">
        <v>6414</v>
      </c>
      <c r="D666" s="8" t="s">
        <v>6415</v>
      </c>
    </row>
    <row r="667" spans="1:4" x14ac:dyDescent="0.35">
      <c r="A667" t="s">
        <v>693</v>
      </c>
      <c r="B667" s="8" t="s">
        <v>694</v>
      </c>
      <c r="C667" t="s">
        <v>6408</v>
      </c>
      <c r="D667" s="8" t="s">
        <v>6409</v>
      </c>
    </row>
    <row r="668" spans="1:4" x14ac:dyDescent="0.35">
      <c r="A668" t="s">
        <v>693</v>
      </c>
      <c r="B668" s="8" t="s">
        <v>694</v>
      </c>
      <c r="C668" t="s">
        <v>6425</v>
      </c>
      <c r="D668" s="8" t="s">
        <v>6426</v>
      </c>
    </row>
    <row r="669" spans="1:4" x14ac:dyDescent="0.35">
      <c r="A669" t="s">
        <v>693</v>
      </c>
      <c r="B669" s="8" t="s">
        <v>694</v>
      </c>
      <c r="C669" t="s">
        <v>6348</v>
      </c>
      <c r="D669" s="8" t="s">
        <v>6349</v>
      </c>
    </row>
    <row r="670" spans="1:4" x14ac:dyDescent="0.35">
      <c r="A670" t="s">
        <v>693</v>
      </c>
      <c r="B670" s="8" t="s">
        <v>694</v>
      </c>
      <c r="C670" t="s">
        <v>6410</v>
      </c>
      <c r="D670" s="8" t="s">
        <v>6411</v>
      </c>
    </row>
    <row r="671" spans="1:4" x14ac:dyDescent="0.35">
      <c r="A671" t="s">
        <v>693</v>
      </c>
      <c r="B671" s="8" t="s">
        <v>694</v>
      </c>
      <c r="C671" t="s">
        <v>6416</v>
      </c>
      <c r="D671" s="8" t="s">
        <v>6417</v>
      </c>
    </row>
    <row r="672" spans="1:4" x14ac:dyDescent="0.35">
      <c r="A672" t="s">
        <v>693</v>
      </c>
      <c r="B672" s="8" t="s">
        <v>694</v>
      </c>
      <c r="C672" t="s">
        <v>6412</v>
      </c>
      <c r="D672" s="8" t="s">
        <v>6413</v>
      </c>
    </row>
    <row r="673" spans="1:4" x14ac:dyDescent="0.35">
      <c r="A673" t="s">
        <v>695</v>
      </c>
      <c r="B673" s="8" t="s">
        <v>696</v>
      </c>
      <c r="C673" t="s">
        <v>6425</v>
      </c>
      <c r="D673" s="8" t="s">
        <v>6426</v>
      </c>
    </row>
    <row r="674" spans="1:4" x14ac:dyDescent="0.35">
      <c r="A674" t="s">
        <v>695</v>
      </c>
      <c r="B674" s="8" t="s">
        <v>696</v>
      </c>
      <c r="C674" t="s">
        <v>6348</v>
      </c>
      <c r="D674" s="8" t="s">
        <v>6349</v>
      </c>
    </row>
    <row r="675" spans="1:4" x14ac:dyDescent="0.35">
      <c r="A675" t="s">
        <v>695</v>
      </c>
      <c r="B675" s="8" t="s">
        <v>696</v>
      </c>
      <c r="C675" t="s">
        <v>6144</v>
      </c>
      <c r="D675" s="8" t="s">
        <v>6145</v>
      </c>
    </row>
    <row r="676" spans="1:4" x14ac:dyDescent="0.35">
      <c r="A676" t="s">
        <v>695</v>
      </c>
      <c r="B676" s="8" t="s">
        <v>696</v>
      </c>
      <c r="C676" t="s">
        <v>6388</v>
      </c>
      <c r="D676" s="8" t="s">
        <v>6389</v>
      </c>
    </row>
    <row r="677" spans="1:4" x14ac:dyDescent="0.35">
      <c r="A677" t="s">
        <v>695</v>
      </c>
      <c r="B677" s="8" t="s">
        <v>696</v>
      </c>
      <c r="C677" t="s">
        <v>6431</v>
      </c>
      <c r="D677" s="8" t="s">
        <v>6432</v>
      </c>
    </row>
    <row r="678" spans="1:4" x14ac:dyDescent="0.35">
      <c r="A678" t="s">
        <v>697</v>
      </c>
      <c r="B678" s="8" t="s">
        <v>698</v>
      </c>
      <c r="C678" t="s">
        <v>6394</v>
      </c>
      <c r="D678" s="8" t="s">
        <v>6395</v>
      </c>
    </row>
    <row r="679" spans="1:4" x14ac:dyDescent="0.35">
      <c r="A679" t="s">
        <v>697</v>
      </c>
      <c r="B679" s="8" t="s">
        <v>698</v>
      </c>
      <c r="C679" t="s">
        <v>6402</v>
      </c>
      <c r="D679" s="8" t="s">
        <v>6403</v>
      </c>
    </row>
    <row r="680" spans="1:4" x14ac:dyDescent="0.35">
      <c r="A680" t="s">
        <v>697</v>
      </c>
      <c r="B680" s="8" t="s">
        <v>698</v>
      </c>
      <c r="C680" t="s">
        <v>6404</v>
      </c>
      <c r="D680" s="8" t="s">
        <v>6405</v>
      </c>
    </row>
    <row r="681" spans="1:4" x14ac:dyDescent="0.35">
      <c r="A681" t="s">
        <v>697</v>
      </c>
      <c r="B681" s="8" t="s">
        <v>698</v>
      </c>
      <c r="C681" t="s">
        <v>6416</v>
      </c>
      <c r="D681" s="8" t="s">
        <v>6417</v>
      </c>
    </row>
    <row r="682" spans="1:4" x14ac:dyDescent="0.35">
      <c r="A682" t="s">
        <v>697</v>
      </c>
      <c r="B682" s="8" t="s">
        <v>698</v>
      </c>
      <c r="C682" t="s">
        <v>6144</v>
      </c>
      <c r="D682" s="8" t="s">
        <v>6145</v>
      </c>
    </row>
    <row r="683" spans="1:4" x14ac:dyDescent="0.35">
      <c r="A683" t="s">
        <v>699</v>
      </c>
      <c r="B683" s="8" t="s">
        <v>700</v>
      </c>
      <c r="C683" t="s">
        <v>6423</v>
      </c>
      <c r="D683" s="8" t="s">
        <v>6424</v>
      </c>
    </row>
    <row r="684" spans="1:4" x14ac:dyDescent="0.35">
      <c r="A684" t="s">
        <v>699</v>
      </c>
      <c r="B684" s="8" t="s">
        <v>700</v>
      </c>
      <c r="C684" t="s">
        <v>6144</v>
      </c>
      <c r="D684" s="8" t="s">
        <v>6145</v>
      </c>
    </row>
    <row r="685" spans="1:4" x14ac:dyDescent="0.35">
      <c r="A685" t="s">
        <v>699</v>
      </c>
      <c r="B685" s="8" t="s">
        <v>700</v>
      </c>
      <c r="C685" t="s">
        <v>6431</v>
      </c>
      <c r="D685" s="8" t="s">
        <v>6432</v>
      </c>
    </row>
    <row r="686" spans="1:4" x14ac:dyDescent="0.35">
      <c r="A686" t="s">
        <v>701</v>
      </c>
      <c r="B686" s="8" t="s">
        <v>702</v>
      </c>
      <c r="C686" t="s">
        <v>6398</v>
      </c>
      <c r="D686" s="8" t="s">
        <v>6399</v>
      </c>
    </row>
    <row r="687" spans="1:4" x14ac:dyDescent="0.35">
      <c r="A687" t="s">
        <v>701</v>
      </c>
      <c r="B687" s="8" t="s">
        <v>702</v>
      </c>
      <c r="C687" t="s">
        <v>6423</v>
      </c>
      <c r="D687" s="8" t="s">
        <v>6424</v>
      </c>
    </row>
    <row r="688" spans="1:4" x14ac:dyDescent="0.35">
      <c r="A688" t="s">
        <v>701</v>
      </c>
      <c r="B688" s="8" t="s">
        <v>702</v>
      </c>
      <c r="C688" t="s">
        <v>6414</v>
      </c>
      <c r="D688" s="8" t="s">
        <v>6415</v>
      </c>
    </row>
    <row r="689" spans="1:4" x14ac:dyDescent="0.35">
      <c r="A689" t="s">
        <v>701</v>
      </c>
      <c r="B689" s="8" t="s">
        <v>702</v>
      </c>
      <c r="C689" t="s">
        <v>6416</v>
      </c>
      <c r="D689" s="8" t="s">
        <v>6417</v>
      </c>
    </row>
    <row r="690" spans="1:4" x14ac:dyDescent="0.35">
      <c r="A690" t="s">
        <v>701</v>
      </c>
      <c r="B690" s="8" t="s">
        <v>702</v>
      </c>
      <c r="C690" t="s">
        <v>6412</v>
      </c>
      <c r="D690" s="8" t="s">
        <v>6413</v>
      </c>
    </row>
    <row r="691" spans="1:4" x14ac:dyDescent="0.35">
      <c r="A691" t="s">
        <v>701</v>
      </c>
      <c r="B691" s="8" t="s">
        <v>702</v>
      </c>
      <c r="C691" t="s">
        <v>6388</v>
      </c>
      <c r="D691" s="8" t="s">
        <v>6389</v>
      </c>
    </row>
    <row r="692" spans="1:4" x14ac:dyDescent="0.35">
      <c r="A692" t="s">
        <v>703</v>
      </c>
      <c r="B692" s="8" t="s">
        <v>704</v>
      </c>
      <c r="C692" t="s">
        <v>6163</v>
      </c>
      <c r="D692" s="8" t="s">
        <v>6164</v>
      </c>
    </row>
    <row r="693" spans="1:4" x14ac:dyDescent="0.35">
      <c r="A693" t="s">
        <v>705</v>
      </c>
      <c r="B693" s="8" t="s">
        <v>706</v>
      </c>
      <c r="C693" t="s">
        <v>6394</v>
      </c>
      <c r="D693" s="8" t="s">
        <v>6395</v>
      </c>
    </row>
    <row r="694" spans="1:4" x14ac:dyDescent="0.35">
      <c r="A694" t="s">
        <v>705</v>
      </c>
      <c r="B694" s="8" t="s">
        <v>706</v>
      </c>
      <c r="C694" t="s">
        <v>6396</v>
      </c>
      <c r="D694" s="8" t="s">
        <v>6397</v>
      </c>
    </row>
    <row r="695" spans="1:4" x14ac:dyDescent="0.35">
      <c r="A695" t="s">
        <v>705</v>
      </c>
      <c r="B695" s="8" t="s">
        <v>706</v>
      </c>
      <c r="C695" t="s">
        <v>6418</v>
      </c>
      <c r="D695" s="8" t="s">
        <v>6419</v>
      </c>
    </row>
    <row r="696" spans="1:4" x14ac:dyDescent="0.35">
      <c r="A696" t="s">
        <v>705</v>
      </c>
      <c r="B696" s="8" t="s">
        <v>706</v>
      </c>
      <c r="C696" t="s">
        <v>6421</v>
      </c>
      <c r="D696" s="8" t="s">
        <v>6422</v>
      </c>
    </row>
    <row r="697" spans="1:4" x14ac:dyDescent="0.35">
      <c r="A697" t="s">
        <v>705</v>
      </c>
      <c r="B697" s="8" t="s">
        <v>706</v>
      </c>
      <c r="C697" t="s">
        <v>6400</v>
      </c>
      <c r="D697" s="8" t="s">
        <v>6401</v>
      </c>
    </row>
    <row r="698" spans="1:4" x14ac:dyDescent="0.35">
      <c r="A698" t="s">
        <v>705</v>
      </c>
      <c r="B698" s="8" t="s">
        <v>706</v>
      </c>
      <c r="C698" t="s">
        <v>6412</v>
      </c>
      <c r="D698" s="8" t="s">
        <v>6413</v>
      </c>
    </row>
    <row r="699" spans="1:4" x14ac:dyDescent="0.35">
      <c r="A699" t="s">
        <v>6433</v>
      </c>
      <c r="B699" s="8" t="s">
        <v>707</v>
      </c>
      <c r="C699" t="s">
        <v>6398</v>
      </c>
      <c r="D699" s="8" t="s">
        <v>6399</v>
      </c>
    </row>
    <row r="700" spans="1:4" x14ac:dyDescent="0.35">
      <c r="A700" t="s">
        <v>6433</v>
      </c>
      <c r="B700" s="8" t="s">
        <v>707</v>
      </c>
      <c r="C700" t="s">
        <v>6421</v>
      </c>
      <c r="D700" s="8" t="s">
        <v>6422</v>
      </c>
    </row>
    <row r="701" spans="1:4" x14ac:dyDescent="0.35">
      <c r="A701" t="s">
        <v>6433</v>
      </c>
      <c r="B701" s="8" t="s">
        <v>707</v>
      </c>
      <c r="C701" t="s">
        <v>6400</v>
      </c>
      <c r="D701" s="8" t="s">
        <v>6401</v>
      </c>
    </row>
    <row r="702" spans="1:4" x14ac:dyDescent="0.35">
      <c r="A702" t="s">
        <v>6433</v>
      </c>
      <c r="B702" s="8" t="s">
        <v>707</v>
      </c>
      <c r="C702" t="s">
        <v>6404</v>
      </c>
      <c r="D702" s="8" t="s">
        <v>6405</v>
      </c>
    </row>
    <row r="703" spans="1:4" x14ac:dyDescent="0.35">
      <c r="A703" t="s">
        <v>6433</v>
      </c>
      <c r="B703" s="8" t="s">
        <v>707</v>
      </c>
      <c r="C703" t="s">
        <v>6423</v>
      </c>
      <c r="D703" s="8" t="s">
        <v>6424</v>
      </c>
    </row>
    <row r="704" spans="1:4" x14ac:dyDescent="0.35">
      <c r="A704" t="s">
        <v>6433</v>
      </c>
      <c r="B704" s="8" t="s">
        <v>707</v>
      </c>
      <c r="C704" t="s">
        <v>6414</v>
      </c>
      <c r="D704" s="8" t="s">
        <v>6415</v>
      </c>
    </row>
    <row r="705" spans="1:4" x14ac:dyDescent="0.35">
      <c r="A705" t="s">
        <v>6433</v>
      </c>
      <c r="B705" s="8" t="s">
        <v>707</v>
      </c>
      <c r="C705" t="s">
        <v>6412</v>
      </c>
      <c r="D705" s="8" t="s">
        <v>6413</v>
      </c>
    </row>
    <row r="706" spans="1:4" x14ac:dyDescent="0.35">
      <c r="A706" t="s">
        <v>6434</v>
      </c>
      <c r="B706" s="8" t="s">
        <v>708</v>
      </c>
      <c r="C706" t="s">
        <v>6163</v>
      </c>
      <c r="D706" s="8" t="s">
        <v>6164</v>
      </c>
    </row>
    <row r="707" spans="1:4" x14ac:dyDescent="0.35">
      <c r="A707" t="s">
        <v>709</v>
      </c>
      <c r="B707" s="8" t="s">
        <v>710</v>
      </c>
      <c r="C707" t="s">
        <v>6394</v>
      </c>
      <c r="D707" s="8" t="s">
        <v>6395</v>
      </c>
    </row>
    <row r="708" spans="1:4" x14ac:dyDescent="0.35">
      <c r="A708" t="s">
        <v>709</v>
      </c>
      <c r="B708" s="8" t="s">
        <v>710</v>
      </c>
      <c r="C708" t="s">
        <v>6418</v>
      </c>
      <c r="D708" s="8" t="s">
        <v>6419</v>
      </c>
    </row>
    <row r="709" spans="1:4" x14ac:dyDescent="0.35">
      <c r="A709" t="s">
        <v>709</v>
      </c>
      <c r="B709" s="8" t="s">
        <v>710</v>
      </c>
      <c r="C709" t="s">
        <v>6421</v>
      </c>
      <c r="D709" s="8" t="s">
        <v>6422</v>
      </c>
    </row>
    <row r="710" spans="1:4" x14ac:dyDescent="0.35">
      <c r="A710" t="s">
        <v>709</v>
      </c>
      <c r="B710" s="8" t="s">
        <v>710</v>
      </c>
      <c r="C710" t="s">
        <v>6400</v>
      </c>
      <c r="D710" s="8" t="s">
        <v>6401</v>
      </c>
    </row>
    <row r="711" spans="1:4" x14ac:dyDescent="0.35">
      <c r="A711" t="s">
        <v>709</v>
      </c>
      <c r="B711" s="8" t="s">
        <v>710</v>
      </c>
      <c r="C711" t="s">
        <v>6406</v>
      </c>
      <c r="D711" s="8" t="s">
        <v>6407</v>
      </c>
    </row>
    <row r="712" spans="1:4" x14ac:dyDescent="0.35">
      <c r="A712" t="s">
        <v>711</v>
      </c>
      <c r="B712" s="8" t="s">
        <v>712</v>
      </c>
      <c r="C712" t="s">
        <v>6394</v>
      </c>
      <c r="D712" s="8" t="s">
        <v>6395</v>
      </c>
    </row>
    <row r="713" spans="1:4" x14ac:dyDescent="0.35">
      <c r="A713" t="s">
        <v>711</v>
      </c>
      <c r="B713" s="8" t="s">
        <v>712</v>
      </c>
      <c r="C713" t="s">
        <v>6418</v>
      </c>
      <c r="D713" s="8" t="s">
        <v>6419</v>
      </c>
    </row>
    <row r="714" spans="1:4" x14ac:dyDescent="0.35">
      <c r="A714" t="s">
        <v>711</v>
      </c>
      <c r="B714" s="8" t="s">
        <v>712</v>
      </c>
      <c r="C714" t="s">
        <v>6421</v>
      </c>
      <c r="D714" s="8" t="s">
        <v>6422</v>
      </c>
    </row>
    <row r="715" spans="1:4" x14ac:dyDescent="0.35">
      <c r="A715" t="s">
        <v>713</v>
      </c>
      <c r="B715" s="8" t="s">
        <v>715</v>
      </c>
      <c r="C715" t="s">
        <v>6394</v>
      </c>
      <c r="D715" s="8" t="s">
        <v>6395</v>
      </c>
    </row>
    <row r="716" spans="1:4" x14ac:dyDescent="0.35">
      <c r="A716" t="s">
        <v>713</v>
      </c>
      <c r="B716" s="8" t="s">
        <v>715</v>
      </c>
      <c r="C716" t="s">
        <v>6418</v>
      </c>
      <c r="D716" s="8" t="s">
        <v>6419</v>
      </c>
    </row>
    <row r="717" spans="1:4" x14ac:dyDescent="0.35">
      <c r="A717" t="s">
        <v>713</v>
      </c>
      <c r="B717" s="8" t="s">
        <v>715</v>
      </c>
      <c r="C717" t="s">
        <v>6421</v>
      </c>
      <c r="D717" s="8" t="s">
        <v>6422</v>
      </c>
    </row>
    <row r="718" spans="1:4" x14ac:dyDescent="0.35">
      <c r="A718" t="s">
        <v>713</v>
      </c>
      <c r="B718" s="8" t="s">
        <v>715</v>
      </c>
      <c r="C718" t="s">
        <v>6400</v>
      </c>
      <c r="D718" s="8" t="s">
        <v>6401</v>
      </c>
    </row>
    <row r="719" spans="1:4" x14ac:dyDescent="0.35">
      <c r="A719" t="s">
        <v>713</v>
      </c>
      <c r="B719" s="8" t="s">
        <v>715</v>
      </c>
      <c r="C719" t="s">
        <v>6402</v>
      </c>
      <c r="D719" s="8" t="s">
        <v>6403</v>
      </c>
    </row>
    <row r="720" spans="1:4" x14ac:dyDescent="0.35">
      <c r="A720" t="s">
        <v>713</v>
      </c>
      <c r="B720" s="8" t="s">
        <v>715</v>
      </c>
      <c r="C720" t="s">
        <v>6404</v>
      </c>
      <c r="D720" s="8" t="s">
        <v>6405</v>
      </c>
    </row>
    <row r="721" spans="1:4" x14ac:dyDescent="0.35">
      <c r="A721" t="s">
        <v>713</v>
      </c>
      <c r="B721" s="8" t="s">
        <v>715</v>
      </c>
      <c r="C721" t="s">
        <v>6406</v>
      </c>
      <c r="D721" s="8" t="s">
        <v>6407</v>
      </c>
    </row>
    <row r="722" spans="1:4" x14ac:dyDescent="0.35">
      <c r="A722" t="s">
        <v>716</v>
      </c>
      <c r="B722" s="8" t="s">
        <v>717</v>
      </c>
      <c r="C722" t="s">
        <v>6425</v>
      </c>
      <c r="D722" s="8" t="s">
        <v>6426</v>
      </c>
    </row>
    <row r="723" spans="1:4" x14ac:dyDescent="0.35">
      <c r="A723" t="s">
        <v>716</v>
      </c>
      <c r="B723" s="8" t="s">
        <v>717</v>
      </c>
      <c r="C723" t="s">
        <v>6348</v>
      </c>
      <c r="D723" s="8" t="s">
        <v>6349</v>
      </c>
    </row>
    <row r="724" spans="1:4" x14ac:dyDescent="0.35">
      <c r="A724" t="s">
        <v>718</v>
      </c>
      <c r="B724" s="8" t="s">
        <v>719</v>
      </c>
      <c r="C724" t="s">
        <v>6394</v>
      </c>
      <c r="D724" s="8" t="s">
        <v>6395</v>
      </c>
    </row>
    <row r="725" spans="1:4" x14ac:dyDescent="0.35">
      <c r="A725" t="s">
        <v>718</v>
      </c>
      <c r="B725" s="8" t="s">
        <v>719</v>
      </c>
      <c r="C725" t="s">
        <v>6243</v>
      </c>
      <c r="D725" s="8" t="s">
        <v>6244</v>
      </c>
    </row>
    <row r="726" spans="1:4" x14ac:dyDescent="0.35">
      <c r="A726" t="s">
        <v>718</v>
      </c>
      <c r="B726" s="8" t="s">
        <v>719</v>
      </c>
      <c r="C726" t="s">
        <v>6435</v>
      </c>
      <c r="D726" s="8" t="s">
        <v>6436</v>
      </c>
    </row>
    <row r="727" spans="1:4" x14ac:dyDescent="0.35">
      <c r="A727" t="s">
        <v>718</v>
      </c>
      <c r="B727" s="8" t="s">
        <v>719</v>
      </c>
      <c r="C727" t="s">
        <v>6418</v>
      </c>
      <c r="D727" s="8" t="s">
        <v>6419</v>
      </c>
    </row>
    <row r="728" spans="1:4" x14ac:dyDescent="0.35">
      <c r="A728" t="s">
        <v>718</v>
      </c>
      <c r="B728" s="8" t="s">
        <v>719</v>
      </c>
      <c r="C728" t="s">
        <v>6410</v>
      </c>
      <c r="D728" s="8" t="s">
        <v>6411</v>
      </c>
    </row>
    <row r="729" spans="1:4" x14ac:dyDescent="0.35">
      <c r="A729" t="s">
        <v>720</v>
      </c>
      <c r="B729" s="8" t="s">
        <v>721</v>
      </c>
      <c r="C729" t="s">
        <v>6421</v>
      </c>
      <c r="D729" s="8" t="s">
        <v>6422</v>
      </c>
    </row>
    <row r="730" spans="1:4" x14ac:dyDescent="0.35">
      <c r="A730" t="s">
        <v>720</v>
      </c>
      <c r="B730" s="8" t="s">
        <v>721</v>
      </c>
      <c r="C730" t="s">
        <v>6131</v>
      </c>
      <c r="D730" s="8" t="s">
        <v>6132</v>
      </c>
    </row>
    <row r="731" spans="1:4" ht="29" x14ac:dyDescent="0.35">
      <c r="A731" t="s">
        <v>722</v>
      </c>
      <c r="B731" s="8" t="s">
        <v>723</v>
      </c>
      <c r="C731" t="s">
        <v>6163</v>
      </c>
      <c r="D731" s="8" t="s">
        <v>6164</v>
      </c>
    </row>
    <row r="732" spans="1:4" x14ac:dyDescent="0.35">
      <c r="A732" t="s">
        <v>724</v>
      </c>
      <c r="B732" s="8" t="s">
        <v>725</v>
      </c>
      <c r="C732" t="s">
        <v>6163</v>
      </c>
      <c r="D732" s="8" t="s">
        <v>6164</v>
      </c>
    </row>
    <row r="733" spans="1:4" x14ac:dyDescent="0.35">
      <c r="A733" t="s">
        <v>726</v>
      </c>
      <c r="B733" s="8" t="s">
        <v>727</v>
      </c>
      <c r="C733" t="s">
        <v>6437</v>
      </c>
      <c r="D733" s="8" t="s">
        <v>6438</v>
      </c>
    </row>
    <row r="734" spans="1:4" x14ac:dyDescent="0.35">
      <c r="A734" t="s">
        <v>726</v>
      </c>
      <c r="B734" s="8" t="s">
        <v>727</v>
      </c>
      <c r="C734" t="s">
        <v>6439</v>
      </c>
      <c r="D734" s="8" t="s">
        <v>6440</v>
      </c>
    </row>
    <row r="735" spans="1:4" x14ac:dyDescent="0.35">
      <c r="A735" t="s">
        <v>726</v>
      </c>
      <c r="B735" s="8" t="s">
        <v>727</v>
      </c>
      <c r="C735" t="s">
        <v>6441</v>
      </c>
      <c r="D735" s="8" t="s">
        <v>6442</v>
      </c>
    </row>
    <row r="736" spans="1:4" x14ac:dyDescent="0.35">
      <c r="A736" t="s">
        <v>728</v>
      </c>
      <c r="B736" s="8" t="s">
        <v>729</v>
      </c>
      <c r="C736" t="s">
        <v>6437</v>
      </c>
      <c r="D736" s="8" t="s">
        <v>6438</v>
      </c>
    </row>
    <row r="737" spans="1:4" x14ac:dyDescent="0.35">
      <c r="A737" t="s">
        <v>728</v>
      </c>
      <c r="B737" s="8" t="s">
        <v>729</v>
      </c>
      <c r="C737" t="s">
        <v>6441</v>
      </c>
      <c r="D737" s="8" t="s">
        <v>6442</v>
      </c>
    </row>
    <row r="738" spans="1:4" x14ac:dyDescent="0.35">
      <c r="A738" t="s">
        <v>730</v>
      </c>
      <c r="B738" s="8" t="s">
        <v>731</v>
      </c>
      <c r="C738" t="s">
        <v>6439</v>
      </c>
      <c r="D738" s="8" t="s">
        <v>6440</v>
      </c>
    </row>
    <row r="739" spans="1:4" x14ac:dyDescent="0.35">
      <c r="A739" t="s">
        <v>730</v>
      </c>
      <c r="B739" s="8" t="s">
        <v>731</v>
      </c>
      <c r="C739" t="s">
        <v>6443</v>
      </c>
      <c r="D739" s="8" t="s">
        <v>6444</v>
      </c>
    </row>
    <row r="740" spans="1:4" x14ac:dyDescent="0.35">
      <c r="A740" t="s">
        <v>732</v>
      </c>
      <c r="B740" s="8" t="s">
        <v>733</v>
      </c>
      <c r="C740" t="s">
        <v>6437</v>
      </c>
      <c r="D740" s="8" t="s">
        <v>6438</v>
      </c>
    </row>
    <row r="741" spans="1:4" x14ac:dyDescent="0.35">
      <c r="A741" t="s">
        <v>732</v>
      </c>
      <c r="B741" s="8" t="s">
        <v>733</v>
      </c>
      <c r="C741" t="s">
        <v>6443</v>
      </c>
      <c r="D741" s="8" t="s">
        <v>6444</v>
      </c>
    </row>
    <row r="742" spans="1:4" x14ac:dyDescent="0.35">
      <c r="A742" t="s">
        <v>732</v>
      </c>
      <c r="B742" s="8" t="s">
        <v>733</v>
      </c>
      <c r="C742" t="s">
        <v>6441</v>
      </c>
      <c r="D742" s="8" t="s">
        <v>6442</v>
      </c>
    </row>
    <row r="743" spans="1:4" x14ac:dyDescent="0.35">
      <c r="A743" t="s">
        <v>734</v>
      </c>
      <c r="B743" s="8" t="s">
        <v>735</v>
      </c>
      <c r="C743" t="s">
        <v>6445</v>
      </c>
      <c r="D743" s="8" t="s">
        <v>6446</v>
      </c>
    </row>
    <row r="744" spans="1:4" x14ac:dyDescent="0.35">
      <c r="A744" t="s">
        <v>734</v>
      </c>
      <c r="B744" s="8" t="s">
        <v>735</v>
      </c>
      <c r="C744" t="s">
        <v>6447</v>
      </c>
      <c r="D744" s="8" t="s">
        <v>6448</v>
      </c>
    </row>
    <row r="745" spans="1:4" x14ac:dyDescent="0.35">
      <c r="A745" t="s">
        <v>734</v>
      </c>
      <c r="B745" s="8" t="s">
        <v>735</v>
      </c>
      <c r="C745" t="s">
        <v>6449</v>
      </c>
      <c r="D745" s="8" t="s">
        <v>6450</v>
      </c>
    </row>
    <row r="746" spans="1:4" x14ac:dyDescent="0.35">
      <c r="A746" t="s">
        <v>734</v>
      </c>
      <c r="B746" s="8" t="s">
        <v>735</v>
      </c>
      <c r="C746" t="s">
        <v>6451</v>
      </c>
      <c r="D746" s="8" t="s">
        <v>6452</v>
      </c>
    </row>
    <row r="747" spans="1:4" x14ac:dyDescent="0.35">
      <c r="A747" t="s">
        <v>734</v>
      </c>
      <c r="B747" s="8" t="s">
        <v>735</v>
      </c>
      <c r="C747" t="s">
        <v>6453</v>
      </c>
      <c r="D747" s="8" t="s">
        <v>6454</v>
      </c>
    </row>
    <row r="748" spans="1:4" x14ac:dyDescent="0.35">
      <c r="A748" t="s">
        <v>736</v>
      </c>
      <c r="B748" s="8" t="s">
        <v>737</v>
      </c>
      <c r="C748" t="s">
        <v>6455</v>
      </c>
      <c r="D748" s="8" t="s">
        <v>6456</v>
      </c>
    </row>
    <row r="749" spans="1:4" x14ac:dyDescent="0.35">
      <c r="A749" t="s">
        <v>738</v>
      </c>
      <c r="B749" s="8" t="s">
        <v>739</v>
      </c>
      <c r="C749" t="s">
        <v>6445</v>
      </c>
      <c r="D749" s="8" t="s">
        <v>6446</v>
      </c>
    </row>
    <row r="750" spans="1:4" x14ac:dyDescent="0.35">
      <c r="A750" t="s">
        <v>740</v>
      </c>
      <c r="B750" s="8" t="s">
        <v>741</v>
      </c>
      <c r="C750" t="s">
        <v>6445</v>
      </c>
      <c r="D750" s="8" t="s">
        <v>6446</v>
      </c>
    </row>
    <row r="751" spans="1:4" x14ac:dyDescent="0.35">
      <c r="A751" t="s">
        <v>740</v>
      </c>
      <c r="B751" s="8" t="s">
        <v>741</v>
      </c>
      <c r="C751" t="s">
        <v>6447</v>
      </c>
      <c r="D751" s="8" t="s">
        <v>6448</v>
      </c>
    </row>
    <row r="752" spans="1:4" x14ac:dyDescent="0.35">
      <c r="A752" t="s">
        <v>742</v>
      </c>
      <c r="B752" s="8" t="s">
        <v>743</v>
      </c>
      <c r="C752" t="s">
        <v>6455</v>
      </c>
      <c r="D752" s="8" t="s">
        <v>6456</v>
      </c>
    </row>
    <row r="753" spans="1:4" x14ac:dyDescent="0.35">
      <c r="A753" t="s">
        <v>742</v>
      </c>
      <c r="B753" s="8" t="s">
        <v>743</v>
      </c>
      <c r="C753" t="s">
        <v>6445</v>
      </c>
      <c r="D753" s="8" t="s">
        <v>6446</v>
      </c>
    </row>
    <row r="754" spans="1:4" x14ac:dyDescent="0.35">
      <c r="A754" t="s">
        <v>744</v>
      </c>
      <c r="B754" s="8" t="s">
        <v>745</v>
      </c>
      <c r="C754" t="s">
        <v>6453</v>
      </c>
      <c r="D754" s="8" t="s">
        <v>6454</v>
      </c>
    </row>
    <row r="755" spans="1:4" x14ac:dyDescent="0.35">
      <c r="A755" t="s">
        <v>746</v>
      </c>
      <c r="B755" s="8" t="s">
        <v>747</v>
      </c>
      <c r="C755" t="s">
        <v>6453</v>
      </c>
      <c r="D755" s="8" t="s">
        <v>6454</v>
      </c>
    </row>
    <row r="756" spans="1:4" x14ac:dyDescent="0.35">
      <c r="A756" t="s">
        <v>748</v>
      </c>
      <c r="B756" s="8" t="s">
        <v>749</v>
      </c>
      <c r="C756" t="s">
        <v>6449</v>
      </c>
      <c r="D756" s="8" t="s">
        <v>6450</v>
      </c>
    </row>
    <row r="757" spans="1:4" x14ac:dyDescent="0.35">
      <c r="A757" t="s">
        <v>750</v>
      </c>
      <c r="B757" s="8" t="s">
        <v>751</v>
      </c>
      <c r="C757" t="s">
        <v>6445</v>
      </c>
      <c r="D757" s="8" t="s">
        <v>6446</v>
      </c>
    </row>
    <row r="758" spans="1:4" x14ac:dyDescent="0.35">
      <c r="A758" t="s">
        <v>750</v>
      </c>
      <c r="B758" s="8" t="s">
        <v>751</v>
      </c>
      <c r="C758" t="s">
        <v>6447</v>
      </c>
      <c r="D758" s="8" t="s">
        <v>6448</v>
      </c>
    </row>
    <row r="759" spans="1:4" x14ac:dyDescent="0.35">
      <c r="A759" t="s">
        <v>752</v>
      </c>
      <c r="B759" s="8" t="s">
        <v>753</v>
      </c>
      <c r="C759" t="s">
        <v>6457</v>
      </c>
      <c r="D759" s="8" t="s">
        <v>6458</v>
      </c>
    </row>
    <row r="760" spans="1:4" x14ac:dyDescent="0.35">
      <c r="A760" t="s">
        <v>752</v>
      </c>
      <c r="B760" s="8" t="s">
        <v>753</v>
      </c>
      <c r="C760" t="s">
        <v>6459</v>
      </c>
      <c r="D760" s="8" t="s">
        <v>6460</v>
      </c>
    </row>
    <row r="761" spans="1:4" x14ac:dyDescent="0.35">
      <c r="A761" t="s">
        <v>752</v>
      </c>
      <c r="B761" s="8" t="s">
        <v>753</v>
      </c>
      <c r="C761" t="s">
        <v>6455</v>
      </c>
      <c r="D761" s="8" t="s">
        <v>6456</v>
      </c>
    </row>
    <row r="762" spans="1:4" x14ac:dyDescent="0.35">
      <c r="A762" t="s">
        <v>752</v>
      </c>
      <c r="B762" s="8" t="s">
        <v>753</v>
      </c>
      <c r="C762" t="s">
        <v>6445</v>
      </c>
      <c r="D762" s="8" t="s">
        <v>6446</v>
      </c>
    </row>
    <row r="763" spans="1:4" x14ac:dyDescent="0.35">
      <c r="A763" t="s">
        <v>754</v>
      </c>
      <c r="B763" s="8" t="s">
        <v>755</v>
      </c>
      <c r="C763" t="s">
        <v>6455</v>
      </c>
      <c r="D763" s="8" t="s">
        <v>6456</v>
      </c>
    </row>
    <row r="764" spans="1:4" x14ac:dyDescent="0.35">
      <c r="A764" t="s">
        <v>754</v>
      </c>
      <c r="B764" s="8" t="s">
        <v>755</v>
      </c>
      <c r="C764" t="s">
        <v>6445</v>
      </c>
      <c r="D764" s="8" t="s">
        <v>6446</v>
      </c>
    </row>
    <row r="765" spans="1:4" x14ac:dyDescent="0.35">
      <c r="A765" t="s">
        <v>756</v>
      </c>
      <c r="B765" s="8" t="s">
        <v>757</v>
      </c>
      <c r="C765" t="s">
        <v>6453</v>
      </c>
      <c r="D765" s="8" t="s">
        <v>6454</v>
      </c>
    </row>
    <row r="766" spans="1:4" x14ac:dyDescent="0.35">
      <c r="A766" t="s">
        <v>758</v>
      </c>
      <c r="B766" s="8" t="s">
        <v>759</v>
      </c>
      <c r="C766" t="s">
        <v>6445</v>
      </c>
      <c r="D766" s="8" t="s">
        <v>6446</v>
      </c>
    </row>
    <row r="767" spans="1:4" x14ac:dyDescent="0.35">
      <c r="A767" t="s">
        <v>760</v>
      </c>
      <c r="B767" s="8" t="s">
        <v>761</v>
      </c>
      <c r="C767" t="s">
        <v>6461</v>
      </c>
      <c r="D767" s="8" t="s">
        <v>6462</v>
      </c>
    </row>
    <row r="768" spans="1:4" x14ac:dyDescent="0.35">
      <c r="A768" t="s">
        <v>760</v>
      </c>
      <c r="B768" s="8" t="s">
        <v>761</v>
      </c>
      <c r="C768" t="s">
        <v>6463</v>
      </c>
      <c r="D768" s="8" t="s">
        <v>6464</v>
      </c>
    </row>
    <row r="769" spans="1:4" x14ac:dyDescent="0.35">
      <c r="A769" t="s">
        <v>760</v>
      </c>
      <c r="B769" s="8" t="s">
        <v>761</v>
      </c>
      <c r="C769" t="s">
        <v>6465</v>
      </c>
      <c r="D769" s="8" t="s">
        <v>6466</v>
      </c>
    </row>
    <row r="770" spans="1:4" x14ac:dyDescent="0.35">
      <c r="A770" t="s">
        <v>760</v>
      </c>
      <c r="B770" s="8" t="s">
        <v>761</v>
      </c>
      <c r="C770" t="s">
        <v>6467</v>
      </c>
      <c r="D770" s="8" t="s">
        <v>6468</v>
      </c>
    </row>
    <row r="771" spans="1:4" x14ac:dyDescent="0.35">
      <c r="A771" t="s">
        <v>760</v>
      </c>
      <c r="B771" s="8" t="s">
        <v>761</v>
      </c>
      <c r="C771" t="s">
        <v>6469</v>
      </c>
      <c r="D771" s="8" t="s">
        <v>6470</v>
      </c>
    </row>
    <row r="772" spans="1:4" x14ac:dyDescent="0.35">
      <c r="A772" t="s">
        <v>762</v>
      </c>
      <c r="B772" s="8" t="s">
        <v>763</v>
      </c>
      <c r="C772" t="s">
        <v>6461</v>
      </c>
      <c r="D772" s="8" t="s">
        <v>6462</v>
      </c>
    </row>
    <row r="773" spans="1:4" x14ac:dyDescent="0.35">
      <c r="A773" t="s">
        <v>762</v>
      </c>
      <c r="B773" s="8" t="s">
        <v>763</v>
      </c>
      <c r="C773" t="s">
        <v>6471</v>
      </c>
      <c r="D773" s="8" t="s">
        <v>6472</v>
      </c>
    </row>
    <row r="774" spans="1:4" x14ac:dyDescent="0.35">
      <c r="A774" t="s">
        <v>764</v>
      </c>
      <c r="B774" s="8" t="s">
        <v>765</v>
      </c>
      <c r="C774" t="s">
        <v>6473</v>
      </c>
      <c r="D774" s="8" t="s">
        <v>6474</v>
      </c>
    </row>
    <row r="775" spans="1:4" x14ac:dyDescent="0.35">
      <c r="A775" t="s">
        <v>766</v>
      </c>
      <c r="B775" s="8" t="s">
        <v>767</v>
      </c>
      <c r="C775" t="s">
        <v>6461</v>
      </c>
      <c r="D775" s="8" t="s">
        <v>6462</v>
      </c>
    </row>
    <row r="776" spans="1:4" x14ac:dyDescent="0.35">
      <c r="A776" t="s">
        <v>766</v>
      </c>
      <c r="B776" s="8" t="s">
        <v>767</v>
      </c>
      <c r="C776" t="s">
        <v>6463</v>
      </c>
      <c r="D776" s="8" t="s">
        <v>6464</v>
      </c>
    </row>
    <row r="777" spans="1:4" x14ac:dyDescent="0.35">
      <c r="A777" t="s">
        <v>766</v>
      </c>
      <c r="B777" s="8" t="s">
        <v>767</v>
      </c>
      <c r="C777" t="s">
        <v>6475</v>
      </c>
      <c r="D777" s="8" t="s">
        <v>6476</v>
      </c>
    </row>
    <row r="778" spans="1:4" x14ac:dyDescent="0.35">
      <c r="A778" t="s">
        <v>766</v>
      </c>
      <c r="B778" s="8" t="s">
        <v>767</v>
      </c>
      <c r="C778" t="s">
        <v>6467</v>
      </c>
      <c r="D778" s="8" t="s">
        <v>6468</v>
      </c>
    </row>
    <row r="779" spans="1:4" x14ac:dyDescent="0.35">
      <c r="A779" t="s">
        <v>766</v>
      </c>
      <c r="B779" s="8" t="s">
        <v>767</v>
      </c>
      <c r="C779" t="s">
        <v>6469</v>
      </c>
      <c r="D779" s="8" t="s">
        <v>6470</v>
      </c>
    </row>
    <row r="780" spans="1:4" x14ac:dyDescent="0.35">
      <c r="A780" t="s">
        <v>768</v>
      </c>
      <c r="B780" s="8" t="s">
        <v>769</v>
      </c>
      <c r="C780" t="s">
        <v>6477</v>
      </c>
      <c r="D780" s="8" t="s">
        <v>6478</v>
      </c>
    </row>
    <row r="781" spans="1:4" x14ac:dyDescent="0.35">
      <c r="A781" t="s">
        <v>768</v>
      </c>
      <c r="B781" s="8" t="s">
        <v>769</v>
      </c>
      <c r="C781" t="s">
        <v>6461</v>
      </c>
      <c r="D781" s="8" t="s">
        <v>6462</v>
      </c>
    </row>
    <row r="782" spans="1:4" x14ac:dyDescent="0.35">
      <c r="A782" t="s">
        <v>768</v>
      </c>
      <c r="B782" s="8" t="s">
        <v>769</v>
      </c>
      <c r="C782" t="s">
        <v>6463</v>
      </c>
      <c r="D782" s="8" t="s">
        <v>6464</v>
      </c>
    </row>
    <row r="783" spans="1:4" x14ac:dyDescent="0.35">
      <c r="A783" t="s">
        <v>768</v>
      </c>
      <c r="B783" s="8" t="s">
        <v>769</v>
      </c>
      <c r="C783" t="s">
        <v>6475</v>
      </c>
      <c r="D783" s="8" t="s">
        <v>6476</v>
      </c>
    </row>
    <row r="784" spans="1:4" x14ac:dyDescent="0.35">
      <c r="A784" t="s">
        <v>770</v>
      </c>
      <c r="B784" s="8" t="s">
        <v>771</v>
      </c>
      <c r="C784" t="s">
        <v>6465</v>
      </c>
      <c r="D784" s="8" t="s">
        <v>6466</v>
      </c>
    </row>
    <row r="785" spans="1:4" x14ac:dyDescent="0.35">
      <c r="A785" t="s">
        <v>770</v>
      </c>
      <c r="B785" s="8" t="s">
        <v>771</v>
      </c>
      <c r="C785" t="s">
        <v>6475</v>
      </c>
      <c r="D785" s="8" t="s">
        <v>6476</v>
      </c>
    </row>
    <row r="786" spans="1:4" x14ac:dyDescent="0.35">
      <c r="A786" t="s">
        <v>770</v>
      </c>
      <c r="B786" s="8" t="s">
        <v>771</v>
      </c>
      <c r="C786" t="s">
        <v>6469</v>
      </c>
      <c r="D786" s="8" t="s">
        <v>6470</v>
      </c>
    </row>
    <row r="787" spans="1:4" x14ac:dyDescent="0.35">
      <c r="A787" t="s">
        <v>772</v>
      </c>
      <c r="B787" s="8" t="s">
        <v>773</v>
      </c>
      <c r="C787" t="s">
        <v>6479</v>
      </c>
      <c r="D787" s="8" t="s">
        <v>6480</v>
      </c>
    </row>
    <row r="788" spans="1:4" x14ac:dyDescent="0.35">
      <c r="A788" t="s">
        <v>772</v>
      </c>
      <c r="B788" s="8" t="s">
        <v>773</v>
      </c>
      <c r="C788" t="s">
        <v>6481</v>
      </c>
      <c r="D788" s="8" t="s">
        <v>6482</v>
      </c>
    </row>
    <row r="789" spans="1:4" x14ac:dyDescent="0.35">
      <c r="A789" t="s">
        <v>774</v>
      </c>
      <c r="B789" s="8" t="s">
        <v>775</v>
      </c>
      <c r="C789" t="s">
        <v>6463</v>
      </c>
      <c r="D789" s="8" t="s">
        <v>6464</v>
      </c>
    </row>
    <row r="790" spans="1:4" x14ac:dyDescent="0.35">
      <c r="A790" t="s">
        <v>776</v>
      </c>
      <c r="B790" s="8" t="s">
        <v>777</v>
      </c>
      <c r="C790" t="s">
        <v>6465</v>
      </c>
      <c r="D790" s="8" t="s">
        <v>6466</v>
      </c>
    </row>
    <row r="791" spans="1:4" x14ac:dyDescent="0.35">
      <c r="A791" t="s">
        <v>778</v>
      </c>
      <c r="B791" s="8" t="s">
        <v>779</v>
      </c>
      <c r="C791" t="s">
        <v>6477</v>
      </c>
      <c r="D791" s="8" t="s">
        <v>6478</v>
      </c>
    </row>
    <row r="792" spans="1:4" x14ac:dyDescent="0.35">
      <c r="A792" t="s">
        <v>778</v>
      </c>
      <c r="B792" s="8" t="s">
        <v>779</v>
      </c>
      <c r="C792" t="s">
        <v>6109</v>
      </c>
      <c r="D792" s="8" t="s">
        <v>6110</v>
      </c>
    </row>
    <row r="793" spans="1:4" x14ac:dyDescent="0.35">
      <c r="A793" t="s">
        <v>778</v>
      </c>
      <c r="B793" s="8" t="s">
        <v>779</v>
      </c>
      <c r="C793" t="s">
        <v>6483</v>
      </c>
      <c r="D793" s="8" t="s">
        <v>6484</v>
      </c>
    </row>
    <row r="794" spans="1:4" x14ac:dyDescent="0.35">
      <c r="A794" t="s">
        <v>778</v>
      </c>
      <c r="B794" s="8" t="s">
        <v>779</v>
      </c>
      <c r="C794" t="s">
        <v>6461</v>
      </c>
      <c r="D794" s="8" t="s">
        <v>6462</v>
      </c>
    </row>
    <row r="795" spans="1:4" x14ac:dyDescent="0.35">
      <c r="A795" t="s">
        <v>778</v>
      </c>
      <c r="B795" s="8" t="s">
        <v>779</v>
      </c>
      <c r="C795" t="s">
        <v>6469</v>
      </c>
      <c r="D795" s="8" t="s">
        <v>6470</v>
      </c>
    </row>
    <row r="796" spans="1:4" x14ac:dyDescent="0.35">
      <c r="A796" t="s">
        <v>780</v>
      </c>
      <c r="B796" s="8" t="s">
        <v>781</v>
      </c>
      <c r="C796" t="s">
        <v>6477</v>
      </c>
      <c r="D796" s="8" t="s">
        <v>6478</v>
      </c>
    </row>
    <row r="797" spans="1:4" x14ac:dyDescent="0.35">
      <c r="A797" t="s">
        <v>780</v>
      </c>
      <c r="B797" s="8" t="s">
        <v>781</v>
      </c>
      <c r="C797" t="s">
        <v>6485</v>
      </c>
      <c r="D797" s="8" t="s">
        <v>6486</v>
      </c>
    </row>
    <row r="798" spans="1:4" x14ac:dyDescent="0.35">
      <c r="A798" t="s">
        <v>782</v>
      </c>
      <c r="B798" s="8" t="s">
        <v>783</v>
      </c>
      <c r="C798" t="s">
        <v>6163</v>
      </c>
      <c r="D798" s="8" t="s">
        <v>6164</v>
      </c>
    </row>
    <row r="799" spans="1:4" x14ac:dyDescent="0.35">
      <c r="A799" t="s">
        <v>6487</v>
      </c>
      <c r="B799" s="8" t="s">
        <v>784</v>
      </c>
      <c r="C799" t="s">
        <v>6488</v>
      </c>
      <c r="D799" s="8" t="s">
        <v>6489</v>
      </c>
    </row>
    <row r="800" spans="1:4" x14ac:dyDescent="0.35">
      <c r="A800" t="s">
        <v>6487</v>
      </c>
      <c r="B800" s="8" t="s">
        <v>784</v>
      </c>
      <c r="C800" t="s">
        <v>6490</v>
      </c>
      <c r="D800" s="8" t="s">
        <v>6491</v>
      </c>
    </row>
    <row r="801" spans="1:4" x14ac:dyDescent="0.35">
      <c r="A801" t="s">
        <v>6487</v>
      </c>
      <c r="B801" s="8" t="s">
        <v>784</v>
      </c>
      <c r="C801" t="s">
        <v>6492</v>
      </c>
      <c r="D801" s="8" t="s">
        <v>6493</v>
      </c>
    </row>
    <row r="802" spans="1:4" x14ac:dyDescent="0.35">
      <c r="A802" t="s">
        <v>6494</v>
      </c>
      <c r="B802" s="8" t="s">
        <v>785</v>
      </c>
      <c r="C802" t="s">
        <v>6490</v>
      </c>
      <c r="D802" s="8" t="s">
        <v>6491</v>
      </c>
    </row>
    <row r="803" spans="1:4" x14ac:dyDescent="0.35">
      <c r="A803" t="s">
        <v>6494</v>
      </c>
      <c r="B803" s="8" t="s">
        <v>785</v>
      </c>
      <c r="C803" t="s">
        <v>6495</v>
      </c>
      <c r="D803" s="8" t="s">
        <v>6496</v>
      </c>
    </row>
    <row r="804" spans="1:4" x14ac:dyDescent="0.35">
      <c r="A804" t="s">
        <v>6497</v>
      </c>
      <c r="B804" s="8" t="s">
        <v>786</v>
      </c>
      <c r="C804" t="s">
        <v>6163</v>
      </c>
      <c r="D804" s="8" t="s">
        <v>6164</v>
      </c>
    </row>
    <row r="805" spans="1:4" x14ac:dyDescent="0.35">
      <c r="A805" t="s">
        <v>787</v>
      </c>
      <c r="B805" s="8" t="s">
        <v>789</v>
      </c>
      <c r="C805" t="s">
        <v>6498</v>
      </c>
      <c r="D805" s="8" t="s">
        <v>6499</v>
      </c>
    </row>
    <row r="806" spans="1:4" x14ac:dyDescent="0.35">
      <c r="A806" t="s">
        <v>790</v>
      </c>
      <c r="B806" s="8" t="s">
        <v>791</v>
      </c>
      <c r="C806" t="s">
        <v>6500</v>
      </c>
      <c r="D806" s="8" t="s">
        <v>6501</v>
      </c>
    </row>
    <row r="807" spans="1:4" ht="29" x14ac:dyDescent="0.35">
      <c r="A807" t="s">
        <v>790</v>
      </c>
      <c r="B807" s="8" t="s">
        <v>791</v>
      </c>
      <c r="C807" t="s">
        <v>6502</v>
      </c>
      <c r="D807" s="8" t="s">
        <v>6503</v>
      </c>
    </row>
    <row r="808" spans="1:4" x14ac:dyDescent="0.35">
      <c r="A808" t="s">
        <v>790</v>
      </c>
      <c r="B808" s="8" t="s">
        <v>791</v>
      </c>
      <c r="C808" t="s">
        <v>6504</v>
      </c>
      <c r="D808" s="8" t="s">
        <v>6505</v>
      </c>
    </row>
    <row r="809" spans="1:4" x14ac:dyDescent="0.35">
      <c r="A809" t="s">
        <v>792</v>
      </c>
      <c r="B809" s="8" t="s">
        <v>793</v>
      </c>
      <c r="C809" t="s">
        <v>6500</v>
      </c>
      <c r="D809" s="8" t="s">
        <v>6501</v>
      </c>
    </row>
    <row r="810" spans="1:4" x14ac:dyDescent="0.35">
      <c r="A810" t="s">
        <v>792</v>
      </c>
      <c r="B810" s="8" t="s">
        <v>793</v>
      </c>
      <c r="C810" t="s">
        <v>6506</v>
      </c>
      <c r="D810" s="8" t="s">
        <v>6507</v>
      </c>
    </row>
    <row r="811" spans="1:4" x14ac:dyDescent="0.35">
      <c r="A811" t="s">
        <v>792</v>
      </c>
      <c r="B811" s="8" t="s">
        <v>793</v>
      </c>
      <c r="C811" t="s">
        <v>6508</v>
      </c>
      <c r="D811" s="8" t="s">
        <v>6509</v>
      </c>
    </row>
    <row r="812" spans="1:4" x14ac:dyDescent="0.35">
      <c r="A812" t="s">
        <v>792</v>
      </c>
      <c r="B812" s="8" t="s">
        <v>793</v>
      </c>
      <c r="C812" t="s">
        <v>6510</v>
      </c>
      <c r="D812" s="8" t="s">
        <v>6511</v>
      </c>
    </row>
    <row r="813" spans="1:4" x14ac:dyDescent="0.35">
      <c r="A813" t="s">
        <v>792</v>
      </c>
      <c r="B813" s="8" t="s">
        <v>793</v>
      </c>
      <c r="C813" t="s">
        <v>6512</v>
      </c>
      <c r="D813" s="8" t="s">
        <v>6513</v>
      </c>
    </row>
    <row r="814" spans="1:4" x14ac:dyDescent="0.35">
      <c r="A814" t="s">
        <v>792</v>
      </c>
      <c r="B814" s="8" t="s">
        <v>793</v>
      </c>
      <c r="C814" t="s">
        <v>6514</v>
      </c>
      <c r="D814" s="8" t="s">
        <v>6515</v>
      </c>
    </row>
    <row r="815" spans="1:4" ht="29" x14ac:dyDescent="0.35">
      <c r="A815" t="s">
        <v>792</v>
      </c>
      <c r="B815" s="8" t="s">
        <v>793</v>
      </c>
      <c r="C815" t="s">
        <v>6516</v>
      </c>
      <c r="D815" s="8" t="s">
        <v>6517</v>
      </c>
    </row>
    <row r="816" spans="1:4" x14ac:dyDescent="0.35">
      <c r="A816" t="s">
        <v>792</v>
      </c>
      <c r="B816" s="8" t="s">
        <v>793</v>
      </c>
      <c r="C816" t="s">
        <v>6518</v>
      </c>
      <c r="D816" s="8" t="s">
        <v>6519</v>
      </c>
    </row>
    <row r="817" spans="1:4" x14ac:dyDescent="0.35">
      <c r="A817" t="s">
        <v>794</v>
      </c>
      <c r="B817" s="8" t="s">
        <v>795</v>
      </c>
      <c r="C817" t="s">
        <v>6500</v>
      </c>
      <c r="D817" s="8" t="s">
        <v>6501</v>
      </c>
    </row>
    <row r="818" spans="1:4" ht="29" x14ac:dyDescent="0.35">
      <c r="A818" t="s">
        <v>794</v>
      </c>
      <c r="B818" s="8" t="s">
        <v>795</v>
      </c>
      <c r="C818" t="s">
        <v>6516</v>
      </c>
      <c r="D818" s="8" t="s">
        <v>6517</v>
      </c>
    </row>
    <row r="819" spans="1:4" x14ac:dyDescent="0.35">
      <c r="A819" t="s">
        <v>794</v>
      </c>
      <c r="B819" s="8" t="s">
        <v>795</v>
      </c>
      <c r="C819" t="s">
        <v>6518</v>
      </c>
      <c r="D819" s="8" t="s">
        <v>6519</v>
      </c>
    </row>
    <row r="820" spans="1:4" x14ac:dyDescent="0.35">
      <c r="A820" t="s">
        <v>796</v>
      </c>
      <c r="B820" s="8" t="s">
        <v>797</v>
      </c>
      <c r="C820" t="s">
        <v>6500</v>
      </c>
      <c r="D820" s="8" t="s">
        <v>6501</v>
      </c>
    </row>
    <row r="821" spans="1:4" x14ac:dyDescent="0.35">
      <c r="A821" t="s">
        <v>796</v>
      </c>
      <c r="B821" s="8" t="s">
        <v>797</v>
      </c>
      <c r="C821" t="s">
        <v>6518</v>
      </c>
      <c r="D821" s="8" t="s">
        <v>6519</v>
      </c>
    </row>
    <row r="822" spans="1:4" x14ac:dyDescent="0.35">
      <c r="A822" t="s">
        <v>798</v>
      </c>
      <c r="B822" s="8" t="s">
        <v>799</v>
      </c>
      <c r="C822" t="s">
        <v>6500</v>
      </c>
      <c r="D822" s="8" t="s">
        <v>6501</v>
      </c>
    </row>
    <row r="823" spans="1:4" ht="29" x14ac:dyDescent="0.35">
      <c r="A823" t="s">
        <v>798</v>
      </c>
      <c r="B823" s="8" t="s">
        <v>799</v>
      </c>
      <c r="C823" t="s">
        <v>6516</v>
      </c>
      <c r="D823" s="8" t="s">
        <v>6517</v>
      </c>
    </row>
    <row r="824" spans="1:4" x14ac:dyDescent="0.35">
      <c r="A824" t="s">
        <v>800</v>
      </c>
      <c r="B824" s="8" t="s">
        <v>801</v>
      </c>
      <c r="C824" t="s">
        <v>6500</v>
      </c>
      <c r="D824" s="8" t="s">
        <v>6501</v>
      </c>
    </row>
    <row r="825" spans="1:4" x14ac:dyDescent="0.35">
      <c r="A825" t="s">
        <v>800</v>
      </c>
      <c r="B825" s="8" t="s">
        <v>801</v>
      </c>
      <c r="C825" t="s">
        <v>6520</v>
      </c>
      <c r="D825" s="8" t="s">
        <v>6521</v>
      </c>
    </row>
    <row r="826" spans="1:4" x14ac:dyDescent="0.35">
      <c r="A826" t="s">
        <v>802</v>
      </c>
      <c r="B826" s="8" t="s">
        <v>803</v>
      </c>
      <c r="C826" t="s">
        <v>6522</v>
      </c>
      <c r="D826" s="8" t="s">
        <v>6523</v>
      </c>
    </row>
    <row r="827" spans="1:4" x14ac:dyDescent="0.35">
      <c r="A827" t="s">
        <v>802</v>
      </c>
      <c r="B827" s="8" t="s">
        <v>803</v>
      </c>
      <c r="C827" t="s">
        <v>6524</v>
      </c>
      <c r="D827" s="8" t="s">
        <v>6525</v>
      </c>
    </row>
    <row r="828" spans="1:4" x14ac:dyDescent="0.35">
      <c r="A828" t="s">
        <v>802</v>
      </c>
      <c r="B828" s="8" t="s">
        <v>803</v>
      </c>
      <c r="C828" t="s">
        <v>6526</v>
      </c>
      <c r="D828" s="8" t="s">
        <v>6527</v>
      </c>
    </row>
    <row r="829" spans="1:4" x14ac:dyDescent="0.35">
      <c r="A829" t="s">
        <v>802</v>
      </c>
      <c r="B829" s="8" t="s">
        <v>803</v>
      </c>
      <c r="C829" t="s">
        <v>6528</v>
      </c>
      <c r="D829" s="8" t="s">
        <v>6529</v>
      </c>
    </row>
    <row r="830" spans="1:4" x14ac:dyDescent="0.35">
      <c r="A830" t="s">
        <v>804</v>
      </c>
      <c r="B830" s="8" t="s">
        <v>805</v>
      </c>
      <c r="C830" t="s">
        <v>6528</v>
      </c>
      <c r="D830" s="8" t="s">
        <v>6529</v>
      </c>
    </row>
    <row r="831" spans="1:4" x14ac:dyDescent="0.35">
      <c r="A831" t="s">
        <v>806</v>
      </c>
      <c r="B831" s="8" t="s">
        <v>807</v>
      </c>
      <c r="C831" t="s">
        <v>6354</v>
      </c>
      <c r="D831" s="8" t="s">
        <v>6355</v>
      </c>
    </row>
    <row r="832" spans="1:4" x14ac:dyDescent="0.35">
      <c r="A832" t="s">
        <v>806</v>
      </c>
      <c r="B832" s="8" t="s">
        <v>807</v>
      </c>
      <c r="C832" t="s">
        <v>6528</v>
      </c>
      <c r="D832" s="8" t="s">
        <v>6529</v>
      </c>
    </row>
    <row r="833" spans="1:4" x14ac:dyDescent="0.35">
      <c r="A833" t="s">
        <v>808</v>
      </c>
      <c r="B833" s="8" t="s">
        <v>809</v>
      </c>
      <c r="C833" t="s">
        <v>6522</v>
      </c>
      <c r="D833" s="8" t="s">
        <v>6523</v>
      </c>
    </row>
    <row r="834" spans="1:4" x14ac:dyDescent="0.35">
      <c r="A834" t="s">
        <v>808</v>
      </c>
      <c r="B834" s="8" t="s">
        <v>809</v>
      </c>
      <c r="C834" t="s">
        <v>6524</v>
      </c>
      <c r="D834" s="8" t="s">
        <v>6525</v>
      </c>
    </row>
    <row r="835" spans="1:4" x14ac:dyDescent="0.35">
      <c r="A835" t="s">
        <v>808</v>
      </c>
      <c r="B835" s="8" t="s">
        <v>809</v>
      </c>
      <c r="C835" t="s">
        <v>6526</v>
      </c>
      <c r="D835" s="8" t="s">
        <v>6527</v>
      </c>
    </row>
    <row r="836" spans="1:4" x14ac:dyDescent="0.35">
      <c r="A836" t="s">
        <v>808</v>
      </c>
      <c r="B836" s="8" t="s">
        <v>809</v>
      </c>
      <c r="C836" t="s">
        <v>6528</v>
      </c>
      <c r="D836" s="8" t="s">
        <v>6529</v>
      </c>
    </row>
    <row r="837" spans="1:4" x14ac:dyDescent="0.35">
      <c r="A837" t="s">
        <v>810</v>
      </c>
      <c r="B837" s="8" t="s">
        <v>811</v>
      </c>
      <c r="C837" t="s">
        <v>6526</v>
      </c>
      <c r="D837" s="8" t="s">
        <v>6527</v>
      </c>
    </row>
    <row r="838" spans="1:4" x14ac:dyDescent="0.35">
      <c r="A838" t="s">
        <v>810</v>
      </c>
      <c r="B838" s="8" t="s">
        <v>811</v>
      </c>
      <c r="C838" t="s">
        <v>6528</v>
      </c>
      <c r="D838" s="8" t="s">
        <v>6529</v>
      </c>
    </row>
    <row r="839" spans="1:4" x14ac:dyDescent="0.35">
      <c r="A839" t="s">
        <v>812</v>
      </c>
      <c r="B839" s="8" t="s">
        <v>814</v>
      </c>
      <c r="C839" t="s">
        <v>6526</v>
      </c>
      <c r="D839" s="8" t="s">
        <v>6527</v>
      </c>
    </row>
    <row r="840" spans="1:4" x14ac:dyDescent="0.35">
      <c r="A840" t="s">
        <v>815</v>
      </c>
      <c r="B840" s="8" t="s">
        <v>816</v>
      </c>
      <c r="C840" t="s">
        <v>6524</v>
      </c>
      <c r="D840" s="8" t="s">
        <v>6525</v>
      </c>
    </row>
    <row r="841" spans="1:4" x14ac:dyDescent="0.35">
      <c r="A841" t="s">
        <v>817</v>
      </c>
      <c r="B841" s="8" t="s">
        <v>818</v>
      </c>
      <c r="C841" t="s">
        <v>6524</v>
      </c>
      <c r="D841" s="8" t="s">
        <v>6525</v>
      </c>
    </row>
    <row r="842" spans="1:4" x14ac:dyDescent="0.35">
      <c r="A842" t="s">
        <v>819</v>
      </c>
      <c r="B842" s="8" t="s">
        <v>820</v>
      </c>
      <c r="C842" t="s">
        <v>6528</v>
      </c>
      <c r="D842" s="8" t="s">
        <v>6529</v>
      </c>
    </row>
    <row r="843" spans="1:4" x14ac:dyDescent="0.35">
      <c r="A843" t="s">
        <v>821</v>
      </c>
      <c r="B843" s="8" t="s">
        <v>822</v>
      </c>
      <c r="C843" t="s">
        <v>6522</v>
      </c>
      <c r="D843" s="8" t="s">
        <v>6523</v>
      </c>
    </row>
    <row r="844" spans="1:4" x14ac:dyDescent="0.35">
      <c r="A844" t="s">
        <v>821</v>
      </c>
      <c r="B844" s="8" t="s">
        <v>822</v>
      </c>
      <c r="C844" t="s">
        <v>6524</v>
      </c>
      <c r="D844" s="8" t="s">
        <v>6525</v>
      </c>
    </row>
    <row r="845" spans="1:4" x14ac:dyDescent="0.35">
      <c r="A845" t="s">
        <v>821</v>
      </c>
      <c r="B845" s="8" t="s">
        <v>822</v>
      </c>
      <c r="C845" t="s">
        <v>6528</v>
      </c>
      <c r="D845" s="8" t="s">
        <v>6529</v>
      </c>
    </row>
    <row r="846" spans="1:4" x14ac:dyDescent="0.35">
      <c r="A846" t="s">
        <v>6530</v>
      </c>
      <c r="B846" s="8" t="s">
        <v>823</v>
      </c>
      <c r="C846" t="s">
        <v>6522</v>
      </c>
      <c r="D846" s="8" t="s">
        <v>6523</v>
      </c>
    </row>
    <row r="847" spans="1:4" x14ac:dyDescent="0.35">
      <c r="A847" t="s">
        <v>6530</v>
      </c>
      <c r="B847" s="8" t="s">
        <v>823</v>
      </c>
      <c r="C847" t="s">
        <v>6524</v>
      </c>
      <c r="D847" s="8" t="s">
        <v>6525</v>
      </c>
    </row>
    <row r="848" spans="1:4" x14ac:dyDescent="0.35">
      <c r="A848" t="s">
        <v>6530</v>
      </c>
      <c r="B848" s="8" t="s">
        <v>823</v>
      </c>
      <c r="C848" t="s">
        <v>6526</v>
      </c>
      <c r="D848" s="8" t="s">
        <v>6527</v>
      </c>
    </row>
    <row r="849" spans="1:4" x14ac:dyDescent="0.35">
      <c r="A849" t="s">
        <v>6530</v>
      </c>
      <c r="B849" s="8" t="s">
        <v>823</v>
      </c>
      <c r="C849" t="s">
        <v>6528</v>
      </c>
      <c r="D849" s="8" t="s">
        <v>6529</v>
      </c>
    </row>
    <row r="850" spans="1:4" x14ac:dyDescent="0.35">
      <c r="A850" t="s">
        <v>6531</v>
      </c>
      <c r="B850" s="8" t="s">
        <v>824</v>
      </c>
      <c r="C850" t="s">
        <v>6528</v>
      </c>
      <c r="D850" s="8" t="s">
        <v>6529</v>
      </c>
    </row>
    <row r="851" spans="1:4" x14ac:dyDescent="0.35">
      <c r="A851" t="s">
        <v>6532</v>
      </c>
      <c r="B851" s="8" t="s">
        <v>825</v>
      </c>
      <c r="C851" t="s">
        <v>6522</v>
      </c>
      <c r="D851" s="8" t="s">
        <v>6523</v>
      </c>
    </row>
    <row r="852" spans="1:4" x14ac:dyDescent="0.35">
      <c r="A852" t="s">
        <v>6532</v>
      </c>
      <c r="B852" s="8" t="s">
        <v>825</v>
      </c>
      <c r="C852" t="s">
        <v>6524</v>
      </c>
      <c r="D852" s="8" t="s">
        <v>6525</v>
      </c>
    </row>
    <row r="853" spans="1:4" x14ac:dyDescent="0.35">
      <c r="A853" t="s">
        <v>826</v>
      </c>
      <c r="B853" s="8" t="s">
        <v>827</v>
      </c>
      <c r="C853" t="s">
        <v>6528</v>
      </c>
      <c r="D853" s="8" t="s">
        <v>6529</v>
      </c>
    </row>
    <row r="854" spans="1:4" x14ac:dyDescent="0.35">
      <c r="A854" t="s">
        <v>828</v>
      </c>
      <c r="B854" s="8" t="s">
        <v>829</v>
      </c>
      <c r="C854" t="s">
        <v>6356</v>
      </c>
      <c r="D854" s="8" t="s">
        <v>6357</v>
      </c>
    </row>
    <row r="855" spans="1:4" x14ac:dyDescent="0.35">
      <c r="A855" t="s">
        <v>828</v>
      </c>
      <c r="B855" s="8" t="s">
        <v>829</v>
      </c>
      <c r="C855" t="s">
        <v>6533</v>
      </c>
      <c r="D855" s="8" t="s">
        <v>6534</v>
      </c>
    </row>
    <row r="856" spans="1:4" x14ac:dyDescent="0.35">
      <c r="A856" t="s">
        <v>828</v>
      </c>
      <c r="B856" s="8" t="s">
        <v>829</v>
      </c>
      <c r="C856" t="s">
        <v>6520</v>
      </c>
      <c r="D856" s="8" t="s">
        <v>6521</v>
      </c>
    </row>
    <row r="857" spans="1:4" x14ac:dyDescent="0.35">
      <c r="A857" t="s">
        <v>830</v>
      </c>
      <c r="B857" s="8" t="s">
        <v>831</v>
      </c>
      <c r="C857" t="s">
        <v>6535</v>
      </c>
      <c r="D857" s="8" t="s">
        <v>6536</v>
      </c>
    </row>
    <row r="858" spans="1:4" x14ac:dyDescent="0.35">
      <c r="A858" t="s">
        <v>830</v>
      </c>
      <c r="B858" s="8" t="s">
        <v>831</v>
      </c>
      <c r="C858" t="s">
        <v>6268</v>
      </c>
      <c r="D858" s="8" t="s">
        <v>6269</v>
      </c>
    </row>
    <row r="859" spans="1:4" x14ac:dyDescent="0.35">
      <c r="A859" t="s">
        <v>830</v>
      </c>
      <c r="B859" s="8" t="s">
        <v>831</v>
      </c>
      <c r="C859" t="s">
        <v>6500</v>
      </c>
      <c r="D859" s="8" t="s">
        <v>6501</v>
      </c>
    </row>
    <row r="860" spans="1:4" x14ac:dyDescent="0.35">
      <c r="A860" t="s">
        <v>832</v>
      </c>
      <c r="B860" s="8" t="s">
        <v>833</v>
      </c>
      <c r="C860" t="s">
        <v>6535</v>
      </c>
      <c r="D860" s="8" t="s">
        <v>6536</v>
      </c>
    </row>
    <row r="861" spans="1:4" x14ac:dyDescent="0.35">
      <c r="A861" t="s">
        <v>832</v>
      </c>
      <c r="B861" s="8" t="s">
        <v>833</v>
      </c>
      <c r="C861" t="s">
        <v>6537</v>
      </c>
      <c r="D861" s="8" t="s">
        <v>6538</v>
      </c>
    </row>
    <row r="862" spans="1:4" x14ac:dyDescent="0.35">
      <c r="A862" t="s">
        <v>832</v>
      </c>
      <c r="B862" s="8" t="s">
        <v>833</v>
      </c>
      <c r="C862" t="s">
        <v>6268</v>
      </c>
      <c r="D862" s="8" t="s">
        <v>6269</v>
      </c>
    </row>
    <row r="863" spans="1:4" x14ac:dyDescent="0.35">
      <c r="A863" t="s">
        <v>832</v>
      </c>
      <c r="B863" s="8" t="s">
        <v>833</v>
      </c>
      <c r="C863" t="s">
        <v>6500</v>
      </c>
      <c r="D863" s="8" t="s">
        <v>6501</v>
      </c>
    </row>
    <row r="864" spans="1:4" x14ac:dyDescent="0.35">
      <c r="A864" t="s">
        <v>834</v>
      </c>
      <c r="B864" s="8" t="s">
        <v>835</v>
      </c>
      <c r="C864" t="s">
        <v>6535</v>
      </c>
      <c r="D864" s="8" t="s">
        <v>6536</v>
      </c>
    </row>
    <row r="865" spans="1:4" x14ac:dyDescent="0.35">
      <c r="A865" t="s">
        <v>834</v>
      </c>
      <c r="B865" s="8" t="s">
        <v>835</v>
      </c>
      <c r="C865" t="s">
        <v>6537</v>
      </c>
      <c r="D865" s="8" t="s">
        <v>6538</v>
      </c>
    </row>
    <row r="866" spans="1:4" x14ac:dyDescent="0.35">
      <c r="A866" t="s">
        <v>834</v>
      </c>
      <c r="B866" s="8" t="s">
        <v>835</v>
      </c>
      <c r="C866" t="s">
        <v>6268</v>
      </c>
      <c r="D866" s="8" t="s">
        <v>6269</v>
      </c>
    </row>
    <row r="867" spans="1:4" x14ac:dyDescent="0.35">
      <c r="A867" t="s">
        <v>834</v>
      </c>
      <c r="B867" s="8" t="s">
        <v>835</v>
      </c>
      <c r="C867" t="s">
        <v>6500</v>
      </c>
      <c r="D867" s="8" t="s">
        <v>6501</v>
      </c>
    </row>
    <row r="868" spans="1:4" x14ac:dyDescent="0.35">
      <c r="A868" t="s">
        <v>836</v>
      </c>
      <c r="B868" s="8" t="s">
        <v>837</v>
      </c>
      <c r="C868" t="s">
        <v>6354</v>
      </c>
      <c r="D868" s="8" t="s">
        <v>6355</v>
      </c>
    </row>
    <row r="869" spans="1:4" x14ac:dyDescent="0.35">
      <c r="A869" t="s">
        <v>836</v>
      </c>
      <c r="B869" s="8" t="s">
        <v>837</v>
      </c>
      <c r="C869" t="s">
        <v>6268</v>
      </c>
      <c r="D869" s="8" t="s">
        <v>6269</v>
      </c>
    </row>
    <row r="870" spans="1:4" x14ac:dyDescent="0.35">
      <c r="A870" t="s">
        <v>836</v>
      </c>
      <c r="B870" s="8" t="s">
        <v>837</v>
      </c>
      <c r="C870" t="s">
        <v>6286</v>
      </c>
      <c r="D870" s="8" t="s">
        <v>6287</v>
      </c>
    </row>
    <row r="871" spans="1:4" x14ac:dyDescent="0.35">
      <c r="A871" t="s">
        <v>836</v>
      </c>
      <c r="B871" s="8" t="s">
        <v>837</v>
      </c>
      <c r="C871" t="s">
        <v>6500</v>
      </c>
      <c r="D871" s="8" t="s">
        <v>6501</v>
      </c>
    </row>
    <row r="872" spans="1:4" x14ac:dyDescent="0.35">
      <c r="A872" t="s">
        <v>836</v>
      </c>
      <c r="B872" s="8" t="s">
        <v>837</v>
      </c>
      <c r="C872" t="s">
        <v>6539</v>
      </c>
      <c r="D872" s="8" t="s">
        <v>6540</v>
      </c>
    </row>
    <row r="873" spans="1:4" x14ac:dyDescent="0.35">
      <c r="A873" t="s">
        <v>6541</v>
      </c>
      <c r="B873" s="8" t="s">
        <v>838</v>
      </c>
      <c r="C873" t="s">
        <v>6535</v>
      </c>
      <c r="D873" s="8" t="s">
        <v>6536</v>
      </c>
    </row>
    <row r="874" spans="1:4" x14ac:dyDescent="0.35">
      <c r="A874" t="s">
        <v>6541</v>
      </c>
      <c r="B874" s="8" t="s">
        <v>838</v>
      </c>
      <c r="C874" t="s">
        <v>6537</v>
      </c>
      <c r="D874" s="8" t="s">
        <v>6538</v>
      </c>
    </row>
    <row r="875" spans="1:4" x14ac:dyDescent="0.35">
      <c r="A875" t="s">
        <v>6541</v>
      </c>
      <c r="B875" s="8" t="s">
        <v>838</v>
      </c>
      <c r="C875" t="s">
        <v>6542</v>
      </c>
      <c r="D875" s="8" t="s">
        <v>6543</v>
      </c>
    </row>
    <row r="876" spans="1:4" x14ac:dyDescent="0.35">
      <c r="A876" t="s">
        <v>839</v>
      </c>
      <c r="B876" s="8" t="s">
        <v>840</v>
      </c>
      <c r="C876" t="s">
        <v>6535</v>
      </c>
      <c r="D876" s="8" t="s">
        <v>6536</v>
      </c>
    </row>
    <row r="877" spans="1:4" x14ac:dyDescent="0.35">
      <c r="A877" t="s">
        <v>839</v>
      </c>
      <c r="B877" s="8" t="s">
        <v>840</v>
      </c>
      <c r="C877" t="s">
        <v>6537</v>
      </c>
      <c r="D877" s="8" t="s">
        <v>6538</v>
      </c>
    </row>
    <row r="878" spans="1:4" x14ac:dyDescent="0.35">
      <c r="A878" t="s">
        <v>839</v>
      </c>
      <c r="B878" s="8" t="s">
        <v>840</v>
      </c>
      <c r="C878" t="s">
        <v>6268</v>
      </c>
      <c r="D878" s="8" t="s">
        <v>6269</v>
      </c>
    </row>
    <row r="879" spans="1:4" x14ac:dyDescent="0.35">
      <c r="A879" t="s">
        <v>839</v>
      </c>
      <c r="B879" s="8" t="s">
        <v>840</v>
      </c>
      <c r="C879" t="s">
        <v>6500</v>
      </c>
      <c r="D879" s="8" t="s">
        <v>6501</v>
      </c>
    </row>
    <row r="880" spans="1:4" x14ac:dyDescent="0.35">
      <c r="A880" t="s">
        <v>841</v>
      </c>
      <c r="B880" s="8" t="s">
        <v>842</v>
      </c>
      <c r="C880" t="s">
        <v>6163</v>
      </c>
      <c r="D880" s="8" t="s">
        <v>6164</v>
      </c>
    </row>
    <row r="881" spans="1:4" x14ac:dyDescent="0.35">
      <c r="A881" t="s">
        <v>843</v>
      </c>
      <c r="B881" s="8" t="s">
        <v>844</v>
      </c>
      <c r="C881" t="s">
        <v>6500</v>
      </c>
      <c r="D881" s="8" t="s">
        <v>6501</v>
      </c>
    </row>
    <row r="882" spans="1:4" x14ac:dyDescent="0.35">
      <c r="A882" t="s">
        <v>845</v>
      </c>
      <c r="B882" s="8" t="s">
        <v>846</v>
      </c>
      <c r="C882" t="s">
        <v>6544</v>
      </c>
      <c r="D882" s="8" t="s">
        <v>6545</v>
      </c>
    </row>
    <row r="883" spans="1:4" x14ac:dyDescent="0.35">
      <c r="A883" t="s">
        <v>845</v>
      </c>
      <c r="B883" s="8" t="s">
        <v>846</v>
      </c>
      <c r="C883" t="s">
        <v>6546</v>
      </c>
      <c r="D883" s="8" t="s">
        <v>6547</v>
      </c>
    </row>
    <row r="884" spans="1:4" x14ac:dyDescent="0.35">
      <c r="A884" t="s">
        <v>845</v>
      </c>
      <c r="B884" s="8" t="s">
        <v>846</v>
      </c>
      <c r="C884" t="s">
        <v>6548</v>
      </c>
      <c r="D884" s="8" t="s">
        <v>6549</v>
      </c>
    </row>
    <row r="885" spans="1:4" x14ac:dyDescent="0.35">
      <c r="A885" t="s">
        <v>845</v>
      </c>
      <c r="B885" s="8" t="s">
        <v>846</v>
      </c>
      <c r="C885" t="s">
        <v>6550</v>
      </c>
      <c r="D885" s="8" t="s">
        <v>6551</v>
      </c>
    </row>
    <row r="886" spans="1:4" x14ac:dyDescent="0.35">
      <c r="A886" t="s">
        <v>845</v>
      </c>
      <c r="B886" s="8" t="s">
        <v>846</v>
      </c>
      <c r="C886" t="s">
        <v>6552</v>
      </c>
      <c r="D886" s="8" t="s">
        <v>6553</v>
      </c>
    </row>
    <row r="887" spans="1:4" x14ac:dyDescent="0.35">
      <c r="A887" t="s">
        <v>845</v>
      </c>
      <c r="B887" s="8" t="s">
        <v>846</v>
      </c>
      <c r="C887" t="s">
        <v>6554</v>
      </c>
      <c r="D887" s="8" t="s">
        <v>6555</v>
      </c>
    </row>
    <row r="888" spans="1:4" x14ac:dyDescent="0.35">
      <c r="A888" t="s">
        <v>845</v>
      </c>
      <c r="B888" s="8" t="s">
        <v>846</v>
      </c>
      <c r="C888" t="s">
        <v>6504</v>
      </c>
      <c r="D888" s="8" t="s">
        <v>6505</v>
      </c>
    </row>
    <row r="889" spans="1:4" ht="29" x14ac:dyDescent="0.35">
      <c r="A889" t="s">
        <v>847</v>
      </c>
      <c r="B889" s="8" t="s">
        <v>848</v>
      </c>
      <c r="C889" t="s">
        <v>6544</v>
      </c>
      <c r="D889" s="8" t="s">
        <v>6545</v>
      </c>
    </row>
    <row r="890" spans="1:4" ht="29" x14ac:dyDescent="0.35">
      <c r="A890" t="s">
        <v>847</v>
      </c>
      <c r="B890" s="8" t="s">
        <v>848</v>
      </c>
      <c r="C890" t="s">
        <v>6546</v>
      </c>
      <c r="D890" s="8" t="s">
        <v>6547</v>
      </c>
    </row>
    <row r="891" spans="1:4" ht="29" x14ac:dyDescent="0.35">
      <c r="A891" t="s">
        <v>847</v>
      </c>
      <c r="B891" s="8" t="s">
        <v>848</v>
      </c>
      <c r="C891" t="s">
        <v>6548</v>
      </c>
      <c r="D891" s="8" t="s">
        <v>6549</v>
      </c>
    </row>
    <row r="892" spans="1:4" ht="29" x14ac:dyDescent="0.35">
      <c r="A892" t="s">
        <v>847</v>
      </c>
      <c r="B892" s="8" t="s">
        <v>848</v>
      </c>
      <c r="C892" t="s">
        <v>6550</v>
      </c>
      <c r="D892" s="8" t="s">
        <v>6551</v>
      </c>
    </row>
    <row r="893" spans="1:4" ht="29" x14ac:dyDescent="0.35">
      <c r="A893" t="s">
        <v>847</v>
      </c>
      <c r="B893" s="8" t="s">
        <v>848</v>
      </c>
      <c r="C893" t="s">
        <v>6552</v>
      </c>
      <c r="D893" s="8" t="s">
        <v>6553</v>
      </c>
    </row>
    <row r="894" spans="1:4" ht="29" x14ac:dyDescent="0.35">
      <c r="A894" t="s">
        <v>847</v>
      </c>
      <c r="B894" s="8" t="s">
        <v>848</v>
      </c>
      <c r="C894" t="s">
        <v>6554</v>
      </c>
      <c r="D894" s="8" t="s">
        <v>6555</v>
      </c>
    </row>
    <row r="895" spans="1:4" ht="29" x14ac:dyDescent="0.35">
      <c r="A895" t="s">
        <v>847</v>
      </c>
      <c r="B895" s="8" t="s">
        <v>848</v>
      </c>
      <c r="C895" t="s">
        <v>6315</v>
      </c>
      <c r="D895" s="8" t="s">
        <v>6316</v>
      </c>
    </row>
    <row r="896" spans="1:4" x14ac:dyDescent="0.35">
      <c r="A896" t="s">
        <v>849</v>
      </c>
      <c r="B896" s="8" t="s">
        <v>850</v>
      </c>
      <c r="C896" t="s">
        <v>6163</v>
      </c>
      <c r="D896" s="8" t="s">
        <v>6164</v>
      </c>
    </row>
    <row r="897" spans="1:4" x14ac:dyDescent="0.35">
      <c r="A897" t="s">
        <v>851</v>
      </c>
      <c r="B897" s="8" t="s">
        <v>852</v>
      </c>
      <c r="C897" t="s">
        <v>6500</v>
      </c>
      <c r="D897" s="8" t="s">
        <v>6501</v>
      </c>
    </row>
    <row r="898" spans="1:4" x14ac:dyDescent="0.35">
      <c r="A898" t="s">
        <v>851</v>
      </c>
      <c r="B898" s="8" t="s">
        <v>852</v>
      </c>
      <c r="C898" t="s">
        <v>6544</v>
      </c>
      <c r="D898" s="8" t="s">
        <v>6545</v>
      </c>
    </row>
    <row r="899" spans="1:4" x14ac:dyDescent="0.35">
      <c r="A899" t="s">
        <v>851</v>
      </c>
      <c r="B899" s="8" t="s">
        <v>852</v>
      </c>
      <c r="C899" t="s">
        <v>6546</v>
      </c>
      <c r="D899" s="8" t="s">
        <v>6547</v>
      </c>
    </row>
    <row r="900" spans="1:4" x14ac:dyDescent="0.35">
      <c r="A900" t="s">
        <v>851</v>
      </c>
      <c r="B900" s="8" t="s">
        <v>852</v>
      </c>
      <c r="C900" t="s">
        <v>6548</v>
      </c>
      <c r="D900" s="8" t="s">
        <v>6549</v>
      </c>
    </row>
    <row r="901" spans="1:4" x14ac:dyDescent="0.35">
      <c r="A901" t="s">
        <v>851</v>
      </c>
      <c r="B901" s="8" t="s">
        <v>852</v>
      </c>
      <c r="C901" t="s">
        <v>6550</v>
      </c>
      <c r="D901" s="8" t="s">
        <v>6551</v>
      </c>
    </row>
    <row r="902" spans="1:4" x14ac:dyDescent="0.35">
      <c r="A902" t="s">
        <v>851</v>
      </c>
      <c r="B902" s="8" t="s">
        <v>852</v>
      </c>
      <c r="C902" t="s">
        <v>6552</v>
      </c>
      <c r="D902" s="8" t="s">
        <v>6553</v>
      </c>
    </row>
    <row r="903" spans="1:4" x14ac:dyDescent="0.35">
      <c r="A903" t="s">
        <v>851</v>
      </c>
      <c r="B903" s="8" t="s">
        <v>852</v>
      </c>
      <c r="C903" t="s">
        <v>6554</v>
      </c>
      <c r="D903" s="8" t="s">
        <v>6555</v>
      </c>
    </row>
    <row r="904" spans="1:4" x14ac:dyDescent="0.35">
      <c r="A904" t="s">
        <v>853</v>
      </c>
      <c r="B904" s="8" t="s">
        <v>855</v>
      </c>
      <c r="C904" t="s">
        <v>6500</v>
      </c>
      <c r="D904" s="8" t="s">
        <v>6501</v>
      </c>
    </row>
    <row r="905" spans="1:4" x14ac:dyDescent="0.35">
      <c r="A905" t="s">
        <v>853</v>
      </c>
      <c r="B905" s="8" t="s">
        <v>855</v>
      </c>
      <c r="C905" t="s">
        <v>6544</v>
      </c>
      <c r="D905" s="8" t="s">
        <v>6545</v>
      </c>
    </row>
    <row r="906" spans="1:4" x14ac:dyDescent="0.35">
      <c r="A906" t="s">
        <v>853</v>
      </c>
      <c r="B906" s="8" t="s">
        <v>855</v>
      </c>
      <c r="C906" t="s">
        <v>6546</v>
      </c>
      <c r="D906" s="8" t="s">
        <v>6547</v>
      </c>
    </row>
    <row r="907" spans="1:4" x14ac:dyDescent="0.35">
      <c r="A907" t="s">
        <v>853</v>
      </c>
      <c r="B907" s="8" t="s">
        <v>855</v>
      </c>
      <c r="C907" t="s">
        <v>6548</v>
      </c>
      <c r="D907" s="8" t="s">
        <v>6549</v>
      </c>
    </row>
    <row r="908" spans="1:4" x14ac:dyDescent="0.35">
      <c r="A908" t="s">
        <v>853</v>
      </c>
      <c r="B908" s="8" t="s">
        <v>855</v>
      </c>
      <c r="C908" t="s">
        <v>6550</v>
      </c>
      <c r="D908" s="8" t="s">
        <v>6551</v>
      </c>
    </row>
    <row r="909" spans="1:4" x14ac:dyDescent="0.35">
      <c r="A909" t="s">
        <v>853</v>
      </c>
      <c r="B909" s="8" t="s">
        <v>855</v>
      </c>
      <c r="C909" t="s">
        <v>6552</v>
      </c>
      <c r="D909" s="8" t="s">
        <v>6553</v>
      </c>
    </row>
    <row r="910" spans="1:4" x14ac:dyDescent="0.35">
      <c r="A910" t="s">
        <v>853</v>
      </c>
      <c r="B910" s="8" t="s">
        <v>855</v>
      </c>
      <c r="C910" t="s">
        <v>6554</v>
      </c>
      <c r="D910" s="8" t="s">
        <v>6555</v>
      </c>
    </row>
    <row r="911" spans="1:4" x14ac:dyDescent="0.35">
      <c r="A911" t="s">
        <v>856</v>
      </c>
      <c r="B911" s="8" t="s">
        <v>857</v>
      </c>
      <c r="C911" t="s">
        <v>6500</v>
      </c>
      <c r="D911" s="8" t="s">
        <v>6501</v>
      </c>
    </row>
    <row r="912" spans="1:4" x14ac:dyDescent="0.35">
      <c r="A912" t="s">
        <v>856</v>
      </c>
      <c r="B912" s="8" t="s">
        <v>857</v>
      </c>
      <c r="C912" t="s">
        <v>6544</v>
      </c>
      <c r="D912" s="8" t="s">
        <v>6545</v>
      </c>
    </row>
    <row r="913" spans="1:4" x14ac:dyDescent="0.35">
      <c r="A913" t="s">
        <v>856</v>
      </c>
      <c r="B913" s="8" t="s">
        <v>857</v>
      </c>
      <c r="C913" t="s">
        <v>6546</v>
      </c>
      <c r="D913" s="8" t="s">
        <v>6547</v>
      </c>
    </row>
    <row r="914" spans="1:4" x14ac:dyDescent="0.35">
      <c r="A914" t="s">
        <v>856</v>
      </c>
      <c r="B914" s="8" t="s">
        <v>857</v>
      </c>
      <c r="C914" t="s">
        <v>6548</v>
      </c>
      <c r="D914" s="8" t="s">
        <v>6549</v>
      </c>
    </row>
    <row r="915" spans="1:4" x14ac:dyDescent="0.35">
      <c r="A915" t="s">
        <v>856</v>
      </c>
      <c r="B915" s="8" t="s">
        <v>857</v>
      </c>
      <c r="C915" t="s">
        <v>6550</v>
      </c>
      <c r="D915" s="8" t="s">
        <v>6551</v>
      </c>
    </row>
    <row r="916" spans="1:4" x14ac:dyDescent="0.35">
      <c r="A916" t="s">
        <v>856</v>
      </c>
      <c r="B916" s="8" t="s">
        <v>857</v>
      </c>
      <c r="C916" t="s">
        <v>6552</v>
      </c>
      <c r="D916" s="8" t="s">
        <v>6553</v>
      </c>
    </row>
    <row r="917" spans="1:4" x14ac:dyDescent="0.35">
      <c r="A917" t="s">
        <v>856</v>
      </c>
      <c r="B917" s="8" t="s">
        <v>857</v>
      </c>
      <c r="C917" t="s">
        <v>6554</v>
      </c>
      <c r="D917" s="8" t="s">
        <v>6555</v>
      </c>
    </row>
    <row r="918" spans="1:4" ht="29" x14ac:dyDescent="0.35">
      <c r="A918" t="s">
        <v>858</v>
      </c>
      <c r="B918" s="8" t="s">
        <v>859</v>
      </c>
      <c r="C918" t="s">
        <v>6500</v>
      </c>
      <c r="D918" s="8" t="s">
        <v>6501</v>
      </c>
    </row>
    <row r="919" spans="1:4" ht="29" x14ac:dyDescent="0.35">
      <c r="A919" t="s">
        <v>858</v>
      </c>
      <c r="B919" s="8" t="s">
        <v>859</v>
      </c>
      <c r="C919" t="s">
        <v>6544</v>
      </c>
      <c r="D919" s="8" t="s">
        <v>6545</v>
      </c>
    </row>
    <row r="920" spans="1:4" ht="29" x14ac:dyDescent="0.35">
      <c r="A920" t="s">
        <v>858</v>
      </c>
      <c r="B920" s="8" t="s">
        <v>859</v>
      </c>
      <c r="C920" t="s">
        <v>6546</v>
      </c>
      <c r="D920" s="8" t="s">
        <v>6547</v>
      </c>
    </row>
    <row r="921" spans="1:4" ht="29" x14ac:dyDescent="0.35">
      <c r="A921" t="s">
        <v>858</v>
      </c>
      <c r="B921" s="8" t="s">
        <v>859</v>
      </c>
      <c r="C921" t="s">
        <v>6548</v>
      </c>
      <c r="D921" s="8" t="s">
        <v>6549</v>
      </c>
    </row>
    <row r="922" spans="1:4" ht="29" x14ac:dyDescent="0.35">
      <c r="A922" t="s">
        <v>858</v>
      </c>
      <c r="B922" s="8" t="s">
        <v>859</v>
      </c>
      <c r="C922" t="s">
        <v>6550</v>
      </c>
      <c r="D922" s="8" t="s">
        <v>6551</v>
      </c>
    </row>
    <row r="923" spans="1:4" ht="29" x14ac:dyDescent="0.35">
      <c r="A923" t="s">
        <v>858</v>
      </c>
      <c r="B923" s="8" t="s">
        <v>859</v>
      </c>
      <c r="C923" t="s">
        <v>6552</v>
      </c>
      <c r="D923" s="8" t="s">
        <v>6553</v>
      </c>
    </row>
    <row r="924" spans="1:4" ht="29" x14ac:dyDescent="0.35">
      <c r="A924" t="s">
        <v>858</v>
      </c>
      <c r="B924" s="8" t="s">
        <v>859</v>
      </c>
      <c r="C924" t="s">
        <v>6554</v>
      </c>
      <c r="D924" s="8" t="s">
        <v>6555</v>
      </c>
    </row>
    <row r="925" spans="1:4" x14ac:dyDescent="0.35">
      <c r="A925" t="s">
        <v>860</v>
      </c>
      <c r="B925" s="8" t="s">
        <v>861</v>
      </c>
      <c r="C925" t="s">
        <v>6500</v>
      </c>
      <c r="D925" s="8" t="s">
        <v>6501</v>
      </c>
    </row>
    <row r="926" spans="1:4" x14ac:dyDescent="0.35">
      <c r="A926" t="s">
        <v>860</v>
      </c>
      <c r="B926" s="8" t="s">
        <v>861</v>
      </c>
      <c r="C926" t="s">
        <v>6544</v>
      </c>
      <c r="D926" s="8" t="s">
        <v>6545</v>
      </c>
    </row>
    <row r="927" spans="1:4" x14ac:dyDescent="0.35">
      <c r="A927" t="s">
        <v>860</v>
      </c>
      <c r="B927" s="8" t="s">
        <v>861</v>
      </c>
      <c r="C927" t="s">
        <v>6546</v>
      </c>
      <c r="D927" s="8" t="s">
        <v>6547</v>
      </c>
    </row>
    <row r="928" spans="1:4" x14ac:dyDescent="0.35">
      <c r="A928" t="s">
        <v>860</v>
      </c>
      <c r="B928" s="8" t="s">
        <v>861</v>
      </c>
      <c r="C928" t="s">
        <v>6548</v>
      </c>
      <c r="D928" s="8" t="s">
        <v>6549</v>
      </c>
    </row>
    <row r="929" spans="1:4" x14ac:dyDescent="0.35">
      <c r="A929" t="s">
        <v>860</v>
      </c>
      <c r="B929" s="8" t="s">
        <v>861</v>
      </c>
      <c r="C929" t="s">
        <v>6550</v>
      </c>
      <c r="D929" s="8" t="s">
        <v>6551</v>
      </c>
    </row>
    <row r="930" spans="1:4" x14ac:dyDescent="0.35">
      <c r="A930" t="s">
        <v>860</v>
      </c>
      <c r="B930" s="8" t="s">
        <v>861</v>
      </c>
      <c r="C930" t="s">
        <v>6552</v>
      </c>
      <c r="D930" s="8" t="s">
        <v>6553</v>
      </c>
    </row>
    <row r="931" spans="1:4" x14ac:dyDescent="0.35">
      <c r="A931" t="s">
        <v>860</v>
      </c>
      <c r="B931" s="8" t="s">
        <v>861</v>
      </c>
      <c r="C931" t="s">
        <v>6554</v>
      </c>
      <c r="D931" s="8" t="s">
        <v>6555</v>
      </c>
    </row>
    <row r="932" spans="1:4" x14ac:dyDescent="0.35">
      <c r="A932" t="s">
        <v>862</v>
      </c>
      <c r="B932" s="8" t="s">
        <v>863</v>
      </c>
      <c r="C932" t="s">
        <v>6500</v>
      </c>
      <c r="D932" s="8" t="s">
        <v>6501</v>
      </c>
    </row>
    <row r="933" spans="1:4" x14ac:dyDescent="0.35">
      <c r="A933" t="s">
        <v>862</v>
      </c>
      <c r="B933" s="8" t="s">
        <v>863</v>
      </c>
      <c r="C933" t="s">
        <v>6544</v>
      </c>
      <c r="D933" s="8" t="s">
        <v>6545</v>
      </c>
    </row>
    <row r="934" spans="1:4" x14ac:dyDescent="0.35">
      <c r="A934" t="s">
        <v>862</v>
      </c>
      <c r="B934" s="8" t="s">
        <v>863</v>
      </c>
      <c r="C934" t="s">
        <v>6546</v>
      </c>
      <c r="D934" s="8" t="s">
        <v>6547</v>
      </c>
    </row>
    <row r="935" spans="1:4" x14ac:dyDescent="0.35">
      <c r="A935" t="s">
        <v>862</v>
      </c>
      <c r="B935" s="8" t="s">
        <v>863</v>
      </c>
      <c r="C935" t="s">
        <v>6548</v>
      </c>
      <c r="D935" s="8" t="s">
        <v>6549</v>
      </c>
    </row>
    <row r="936" spans="1:4" x14ac:dyDescent="0.35">
      <c r="A936" t="s">
        <v>862</v>
      </c>
      <c r="B936" s="8" t="s">
        <v>863</v>
      </c>
      <c r="C936" t="s">
        <v>6550</v>
      </c>
      <c r="D936" s="8" t="s">
        <v>6551</v>
      </c>
    </row>
    <row r="937" spans="1:4" x14ac:dyDescent="0.35">
      <c r="A937" t="s">
        <v>862</v>
      </c>
      <c r="B937" s="8" t="s">
        <v>863</v>
      </c>
      <c r="C937" t="s">
        <v>6552</v>
      </c>
      <c r="D937" s="8" t="s">
        <v>6553</v>
      </c>
    </row>
    <row r="938" spans="1:4" x14ac:dyDescent="0.35">
      <c r="A938" t="s">
        <v>862</v>
      </c>
      <c r="B938" s="8" t="s">
        <v>863</v>
      </c>
      <c r="C938" t="s">
        <v>6554</v>
      </c>
      <c r="D938" s="8" t="s">
        <v>6555</v>
      </c>
    </row>
    <row r="939" spans="1:4" x14ac:dyDescent="0.35">
      <c r="A939" t="s">
        <v>864</v>
      </c>
      <c r="B939" s="8" t="s">
        <v>865</v>
      </c>
      <c r="C939" t="s">
        <v>6500</v>
      </c>
      <c r="D939" s="8" t="s">
        <v>6501</v>
      </c>
    </row>
    <row r="940" spans="1:4" x14ac:dyDescent="0.35">
      <c r="A940" t="s">
        <v>864</v>
      </c>
      <c r="B940" s="8" t="s">
        <v>865</v>
      </c>
      <c r="C940" t="s">
        <v>6544</v>
      </c>
      <c r="D940" s="8" t="s">
        <v>6545</v>
      </c>
    </row>
    <row r="941" spans="1:4" x14ac:dyDescent="0.35">
      <c r="A941" t="s">
        <v>864</v>
      </c>
      <c r="B941" s="8" t="s">
        <v>865</v>
      </c>
      <c r="C941" t="s">
        <v>6546</v>
      </c>
      <c r="D941" s="8" t="s">
        <v>6547</v>
      </c>
    </row>
    <row r="942" spans="1:4" x14ac:dyDescent="0.35">
      <c r="A942" t="s">
        <v>864</v>
      </c>
      <c r="B942" s="8" t="s">
        <v>865</v>
      </c>
      <c r="C942" t="s">
        <v>6548</v>
      </c>
      <c r="D942" s="8" t="s">
        <v>6549</v>
      </c>
    </row>
    <row r="943" spans="1:4" x14ac:dyDescent="0.35">
      <c r="A943" t="s">
        <v>864</v>
      </c>
      <c r="B943" s="8" t="s">
        <v>865</v>
      </c>
      <c r="C943" t="s">
        <v>6550</v>
      </c>
      <c r="D943" s="8" t="s">
        <v>6551</v>
      </c>
    </row>
    <row r="944" spans="1:4" x14ac:dyDescent="0.35">
      <c r="A944" t="s">
        <v>864</v>
      </c>
      <c r="B944" s="8" t="s">
        <v>865</v>
      </c>
      <c r="C944" t="s">
        <v>6552</v>
      </c>
      <c r="D944" s="8" t="s">
        <v>6553</v>
      </c>
    </row>
    <row r="945" spans="1:4" x14ac:dyDescent="0.35">
      <c r="A945" t="s">
        <v>864</v>
      </c>
      <c r="B945" s="8" t="s">
        <v>865</v>
      </c>
      <c r="C945" t="s">
        <v>6554</v>
      </c>
      <c r="D945" s="8" t="s">
        <v>6555</v>
      </c>
    </row>
    <row r="946" spans="1:4" x14ac:dyDescent="0.35">
      <c r="A946" t="s">
        <v>866</v>
      </c>
      <c r="B946" s="8" t="s">
        <v>867</v>
      </c>
      <c r="C946" t="s">
        <v>6500</v>
      </c>
      <c r="D946" s="8" t="s">
        <v>6501</v>
      </c>
    </row>
    <row r="947" spans="1:4" x14ac:dyDescent="0.35">
      <c r="A947" t="s">
        <v>866</v>
      </c>
      <c r="B947" s="8" t="s">
        <v>867</v>
      </c>
      <c r="C947" t="s">
        <v>6544</v>
      </c>
      <c r="D947" s="8" t="s">
        <v>6545</v>
      </c>
    </row>
    <row r="948" spans="1:4" x14ac:dyDescent="0.35">
      <c r="A948" t="s">
        <v>866</v>
      </c>
      <c r="B948" s="8" t="s">
        <v>867</v>
      </c>
      <c r="C948" t="s">
        <v>6546</v>
      </c>
      <c r="D948" s="8" t="s">
        <v>6547</v>
      </c>
    </row>
    <row r="949" spans="1:4" x14ac:dyDescent="0.35">
      <c r="A949" t="s">
        <v>866</v>
      </c>
      <c r="B949" s="8" t="s">
        <v>867</v>
      </c>
      <c r="C949" t="s">
        <v>6548</v>
      </c>
      <c r="D949" s="8" t="s">
        <v>6549</v>
      </c>
    </row>
    <row r="950" spans="1:4" x14ac:dyDescent="0.35">
      <c r="A950" t="s">
        <v>866</v>
      </c>
      <c r="B950" s="8" t="s">
        <v>867</v>
      </c>
      <c r="C950" t="s">
        <v>6550</v>
      </c>
      <c r="D950" s="8" t="s">
        <v>6551</v>
      </c>
    </row>
    <row r="951" spans="1:4" x14ac:dyDescent="0.35">
      <c r="A951" t="s">
        <v>866</v>
      </c>
      <c r="B951" s="8" t="s">
        <v>867</v>
      </c>
      <c r="C951" t="s">
        <v>6552</v>
      </c>
      <c r="D951" s="8" t="s">
        <v>6553</v>
      </c>
    </row>
    <row r="952" spans="1:4" x14ac:dyDescent="0.35">
      <c r="A952" t="s">
        <v>866</v>
      </c>
      <c r="B952" s="8" t="s">
        <v>867</v>
      </c>
      <c r="C952" t="s">
        <v>6554</v>
      </c>
      <c r="D952" s="8" t="s">
        <v>6555</v>
      </c>
    </row>
    <row r="953" spans="1:4" x14ac:dyDescent="0.35">
      <c r="A953" t="s">
        <v>868</v>
      </c>
      <c r="B953" s="8" t="s">
        <v>869</v>
      </c>
      <c r="C953" t="s">
        <v>6500</v>
      </c>
      <c r="D953" s="8" t="s">
        <v>6501</v>
      </c>
    </row>
    <row r="954" spans="1:4" x14ac:dyDescent="0.35">
      <c r="A954" t="s">
        <v>868</v>
      </c>
      <c r="B954" s="8" t="s">
        <v>869</v>
      </c>
      <c r="C954" t="s">
        <v>6544</v>
      </c>
      <c r="D954" s="8" t="s">
        <v>6545</v>
      </c>
    </row>
    <row r="955" spans="1:4" x14ac:dyDescent="0.35">
      <c r="A955" t="s">
        <v>868</v>
      </c>
      <c r="B955" s="8" t="s">
        <v>869</v>
      </c>
      <c r="C955" t="s">
        <v>6546</v>
      </c>
      <c r="D955" s="8" t="s">
        <v>6547</v>
      </c>
    </row>
    <row r="956" spans="1:4" x14ac:dyDescent="0.35">
      <c r="A956" t="s">
        <v>868</v>
      </c>
      <c r="B956" s="8" t="s">
        <v>869</v>
      </c>
      <c r="C956" t="s">
        <v>6548</v>
      </c>
      <c r="D956" s="8" t="s">
        <v>6549</v>
      </c>
    </row>
    <row r="957" spans="1:4" x14ac:dyDescent="0.35">
      <c r="A957" t="s">
        <v>868</v>
      </c>
      <c r="B957" s="8" t="s">
        <v>869</v>
      </c>
      <c r="C957" t="s">
        <v>6550</v>
      </c>
      <c r="D957" s="8" t="s">
        <v>6551</v>
      </c>
    </row>
    <row r="958" spans="1:4" x14ac:dyDescent="0.35">
      <c r="A958" t="s">
        <v>868</v>
      </c>
      <c r="B958" s="8" t="s">
        <v>869</v>
      </c>
      <c r="C958" t="s">
        <v>6552</v>
      </c>
      <c r="D958" s="8" t="s">
        <v>6553</v>
      </c>
    </row>
    <row r="959" spans="1:4" x14ac:dyDescent="0.35">
      <c r="A959" t="s">
        <v>868</v>
      </c>
      <c r="B959" s="8" t="s">
        <v>869</v>
      </c>
      <c r="C959" t="s">
        <v>6554</v>
      </c>
      <c r="D959" s="8" t="s">
        <v>6555</v>
      </c>
    </row>
    <row r="960" spans="1:4" ht="29" x14ac:dyDescent="0.35">
      <c r="A960" t="s">
        <v>870</v>
      </c>
      <c r="B960" s="8" t="s">
        <v>871</v>
      </c>
      <c r="C960" t="s">
        <v>6500</v>
      </c>
      <c r="D960" s="8" t="s">
        <v>6501</v>
      </c>
    </row>
    <row r="961" spans="1:4" ht="29" x14ac:dyDescent="0.35">
      <c r="A961" t="s">
        <v>870</v>
      </c>
      <c r="B961" s="8" t="s">
        <v>871</v>
      </c>
      <c r="C961" t="s">
        <v>6544</v>
      </c>
      <c r="D961" s="8" t="s">
        <v>6545</v>
      </c>
    </row>
    <row r="962" spans="1:4" x14ac:dyDescent="0.35">
      <c r="A962" t="s">
        <v>872</v>
      </c>
      <c r="B962" s="8" t="s">
        <v>873</v>
      </c>
      <c r="C962" t="s">
        <v>6500</v>
      </c>
      <c r="D962" s="8" t="s">
        <v>6501</v>
      </c>
    </row>
    <row r="963" spans="1:4" x14ac:dyDescent="0.35">
      <c r="A963" t="s">
        <v>872</v>
      </c>
      <c r="B963" s="8" t="s">
        <v>873</v>
      </c>
      <c r="C963" t="s">
        <v>6544</v>
      </c>
      <c r="D963" s="8" t="s">
        <v>6545</v>
      </c>
    </row>
    <row r="964" spans="1:4" x14ac:dyDescent="0.35">
      <c r="A964" t="s">
        <v>872</v>
      </c>
      <c r="B964" s="8" t="s">
        <v>873</v>
      </c>
      <c r="C964" t="s">
        <v>6546</v>
      </c>
      <c r="D964" s="8" t="s">
        <v>6547</v>
      </c>
    </row>
    <row r="965" spans="1:4" x14ac:dyDescent="0.35">
      <c r="A965" t="s">
        <v>872</v>
      </c>
      <c r="B965" s="8" t="s">
        <v>873</v>
      </c>
      <c r="C965" t="s">
        <v>6548</v>
      </c>
      <c r="D965" s="8" t="s">
        <v>6549</v>
      </c>
    </row>
    <row r="966" spans="1:4" x14ac:dyDescent="0.35">
      <c r="A966" t="s">
        <v>872</v>
      </c>
      <c r="B966" s="8" t="s">
        <v>873</v>
      </c>
      <c r="C966" t="s">
        <v>6550</v>
      </c>
      <c r="D966" s="8" t="s">
        <v>6551</v>
      </c>
    </row>
    <row r="967" spans="1:4" x14ac:dyDescent="0.35">
      <c r="A967" t="s">
        <v>872</v>
      </c>
      <c r="B967" s="8" t="s">
        <v>873</v>
      </c>
      <c r="C967" t="s">
        <v>6552</v>
      </c>
      <c r="D967" s="8" t="s">
        <v>6553</v>
      </c>
    </row>
    <row r="968" spans="1:4" x14ac:dyDescent="0.35">
      <c r="A968" t="s">
        <v>872</v>
      </c>
      <c r="B968" s="8" t="s">
        <v>873</v>
      </c>
      <c r="C968" t="s">
        <v>6554</v>
      </c>
      <c r="D968" s="8" t="s">
        <v>6555</v>
      </c>
    </row>
    <row r="969" spans="1:4" x14ac:dyDescent="0.35">
      <c r="A969" t="s">
        <v>874</v>
      </c>
      <c r="B969" s="8" t="s">
        <v>875</v>
      </c>
      <c r="C969" t="s">
        <v>6500</v>
      </c>
      <c r="D969" s="8" t="s">
        <v>6501</v>
      </c>
    </row>
    <row r="970" spans="1:4" x14ac:dyDescent="0.35">
      <c r="A970" t="s">
        <v>874</v>
      </c>
      <c r="B970" s="8" t="s">
        <v>875</v>
      </c>
      <c r="C970" t="s">
        <v>6546</v>
      </c>
      <c r="D970" s="8" t="s">
        <v>6547</v>
      </c>
    </row>
    <row r="971" spans="1:4" x14ac:dyDescent="0.35">
      <c r="A971" t="s">
        <v>874</v>
      </c>
      <c r="B971" s="8" t="s">
        <v>875</v>
      </c>
      <c r="C971" t="s">
        <v>6548</v>
      </c>
      <c r="D971" s="8" t="s">
        <v>6549</v>
      </c>
    </row>
    <row r="972" spans="1:4" ht="29" x14ac:dyDescent="0.35">
      <c r="A972" t="s">
        <v>876</v>
      </c>
      <c r="B972" s="8" t="s">
        <v>877</v>
      </c>
      <c r="C972" t="s">
        <v>6500</v>
      </c>
      <c r="D972" s="8" t="s">
        <v>6501</v>
      </c>
    </row>
    <row r="973" spans="1:4" ht="29" x14ac:dyDescent="0.35">
      <c r="A973" t="s">
        <v>876</v>
      </c>
      <c r="B973" s="8" t="s">
        <v>877</v>
      </c>
      <c r="C973" t="s">
        <v>6550</v>
      </c>
      <c r="D973" s="8" t="s">
        <v>6551</v>
      </c>
    </row>
    <row r="974" spans="1:4" x14ac:dyDescent="0.35">
      <c r="A974" t="s">
        <v>878</v>
      </c>
      <c r="B974" s="8" t="s">
        <v>879</v>
      </c>
      <c r="C974" t="s">
        <v>6500</v>
      </c>
      <c r="D974" s="8" t="s">
        <v>6501</v>
      </c>
    </row>
    <row r="975" spans="1:4" x14ac:dyDescent="0.35">
      <c r="A975" t="s">
        <v>878</v>
      </c>
      <c r="B975" s="8" t="s">
        <v>879</v>
      </c>
      <c r="C975" t="s">
        <v>6552</v>
      </c>
      <c r="D975" s="8" t="s">
        <v>6553</v>
      </c>
    </row>
    <row r="976" spans="1:4" x14ac:dyDescent="0.35">
      <c r="A976" t="s">
        <v>880</v>
      </c>
      <c r="B976" s="8" t="s">
        <v>881</v>
      </c>
      <c r="C976" t="s">
        <v>6500</v>
      </c>
      <c r="D976" s="8" t="s">
        <v>6501</v>
      </c>
    </row>
    <row r="977" spans="1:4" x14ac:dyDescent="0.35">
      <c r="A977" t="s">
        <v>880</v>
      </c>
      <c r="B977" s="8" t="s">
        <v>881</v>
      </c>
      <c r="C977" t="s">
        <v>6554</v>
      </c>
      <c r="D977" s="8" t="s">
        <v>6555</v>
      </c>
    </row>
    <row r="978" spans="1:4" x14ac:dyDescent="0.35">
      <c r="A978" t="s">
        <v>882</v>
      </c>
      <c r="B978" s="8" t="s">
        <v>883</v>
      </c>
      <c r="C978" t="s">
        <v>6556</v>
      </c>
      <c r="D978" s="8" t="s">
        <v>6557</v>
      </c>
    </row>
    <row r="979" spans="1:4" x14ac:dyDescent="0.35">
      <c r="A979" t="s">
        <v>884</v>
      </c>
      <c r="B979" s="8" t="s">
        <v>885</v>
      </c>
      <c r="C979" t="s">
        <v>6556</v>
      </c>
      <c r="D979" s="8" t="s">
        <v>6557</v>
      </c>
    </row>
    <row r="980" spans="1:4" x14ac:dyDescent="0.35">
      <c r="A980" t="s">
        <v>884</v>
      </c>
      <c r="B980" s="8" t="s">
        <v>885</v>
      </c>
      <c r="C980" t="s">
        <v>6558</v>
      </c>
      <c r="D980" s="8" t="s">
        <v>6559</v>
      </c>
    </row>
    <row r="981" spans="1:4" x14ac:dyDescent="0.35">
      <c r="A981" t="s">
        <v>886</v>
      </c>
      <c r="B981" s="8" t="s">
        <v>887</v>
      </c>
      <c r="C981" t="s">
        <v>6556</v>
      </c>
      <c r="D981" s="8" t="s">
        <v>6557</v>
      </c>
    </row>
    <row r="982" spans="1:4" x14ac:dyDescent="0.35">
      <c r="A982" t="s">
        <v>886</v>
      </c>
      <c r="B982" s="8" t="s">
        <v>887</v>
      </c>
      <c r="C982" t="s">
        <v>6558</v>
      </c>
      <c r="D982" s="8" t="s">
        <v>6559</v>
      </c>
    </row>
    <row r="983" spans="1:4" x14ac:dyDescent="0.35">
      <c r="A983" t="s">
        <v>888</v>
      </c>
      <c r="B983" s="8" t="s">
        <v>889</v>
      </c>
      <c r="C983" t="s">
        <v>6356</v>
      </c>
      <c r="D983" s="8" t="s">
        <v>6357</v>
      </c>
    </row>
    <row r="984" spans="1:4" ht="29" x14ac:dyDescent="0.35">
      <c r="A984" t="s">
        <v>888</v>
      </c>
      <c r="B984" s="8" t="s">
        <v>889</v>
      </c>
      <c r="C984" t="s">
        <v>6516</v>
      </c>
      <c r="D984" s="8" t="s">
        <v>6517</v>
      </c>
    </row>
    <row r="985" spans="1:4" x14ac:dyDescent="0.35">
      <c r="A985" t="s">
        <v>888</v>
      </c>
      <c r="B985" s="8" t="s">
        <v>889</v>
      </c>
      <c r="C985" t="s">
        <v>6560</v>
      </c>
      <c r="D985" s="8" t="s">
        <v>6561</v>
      </c>
    </row>
    <row r="986" spans="1:4" x14ac:dyDescent="0.35">
      <c r="A986" t="s">
        <v>890</v>
      </c>
      <c r="B986" s="8" t="s">
        <v>891</v>
      </c>
      <c r="C986" t="s">
        <v>6500</v>
      </c>
      <c r="D986" s="8" t="s">
        <v>6501</v>
      </c>
    </row>
    <row r="987" spans="1:4" x14ac:dyDescent="0.35">
      <c r="A987" t="s">
        <v>890</v>
      </c>
      <c r="B987" s="8" t="s">
        <v>891</v>
      </c>
      <c r="C987" t="s">
        <v>6510</v>
      </c>
      <c r="D987" s="8" t="s">
        <v>6511</v>
      </c>
    </row>
    <row r="988" spans="1:4" x14ac:dyDescent="0.35">
      <c r="A988" t="s">
        <v>892</v>
      </c>
      <c r="B988" s="8" t="s">
        <v>893</v>
      </c>
      <c r="C988" t="s">
        <v>6500</v>
      </c>
      <c r="D988" s="8" t="s">
        <v>6501</v>
      </c>
    </row>
    <row r="989" spans="1:4" x14ac:dyDescent="0.35">
      <c r="A989" t="s">
        <v>892</v>
      </c>
      <c r="B989" s="8" t="s">
        <v>893</v>
      </c>
      <c r="C989" t="s">
        <v>6512</v>
      </c>
      <c r="D989" s="8" t="s">
        <v>6513</v>
      </c>
    </row>
    <row r="990" spans="1:4" x14ac:dyDescent="0.35">
      <c r="A990" t="s">
        <v>892</v>
      </c>
      <c r="B990" s="8" t="s">
        <v>893</v>
      </c>
      <c r="C990" t="s">
        <v>6514</v>
      </c>
      <c r="D990" s="8" t="s">
        <v>6515</v>
      </c>
    </row>
    <row r="991" spans="1:4" x14ac:dyDescent="0.35">
      <c r="A991" t="s">
        <v>894</v>
      </c>
      <c r="B991" s="8" t="s">
        <v>895</v>
      </c>
      <c r="C991" t="s">
        <v>6500</v>
      </c>
      <c r="D991" s="8" t="s">
        <v>6501</v>
      </c>
    </row>
    <row r="992" spans="1:4" x14ac:dyDescent="0.35">
      <c r="A992" t="s">
        <v>894</v>
      </c>
      <c r="B992" s="8" t="s">
        <v>895</v>
      </c>
      <c r="C992" t="s">
        <v>6514</v>
      </c>
      <c r="D992" s="8" t="s">
        <v>6515</v>
      </c>
    </row>
    <row r="993" spans="1:4" x14ac:dyDescent="0.35">
      <c r="A993" t="s">
        <v>896</v>
      </c>
      <c r="B993" s="8" t="s">
        <v>897</v>
      </c>
      <c r="C993" t="s">
        <v>6500</v>
      </c>
      <c r="D993" s="8" t="s">
        <v>6501</v>
      </c>
    </row>
    <row r="994" spans="1:4" x14ac:dyDescent="0.35">
      <c r="A994" t="s">
        <v>896</v>
      </c>
      <c r="B994" s="8" t="s">
        <v>897</v>
      </c>
      <c r="C994" t="s">
        <v>6506</v>
      </c>
      <c r="D994" s="8" t="s">
        <v>6507</v>
      </c>
    </row>
    <row r="995" spans="1:4" x14ac:dyDescent="0.35">
      <c r="A995" t="s">
        <v>896</v>
      </c>
      <c r="B995" s="8" t="s">
        <v>897</v>
      </c>
      <c r="C995" t="s">
        <v>6508</v>
      </c>
      <c r="D995" s="8" t="s">
        <v>6509</v>
      </c>
    </row>
    <row r="996" spans="1:4" x14ac:dyDescent="0.35">
      <c r="A996" t="s">
        <v>896</v>
      </c>
      <c r="B996" s="8" t="s">
        <v>897</v>
      </c>
      <c r="C996" t="s">
        <v>6510</v>
      </c>
      <c r="D996" s="8" t="s">
        <v>6511</v>
      </c>
    </row>
    <row r="997" spans="1:4" x14ac:dyDescent="0.35">
      <c r="A997" t="s">
        <v>896</v>
      </c>
      <c r="B997" s="8" t="s">
        <v>897</v>
      </c>
      <c r="C997" t="s">
        <v>6512</v>
      </c>
      <c r="D997" s="8" t="s">
        <v>6513</v>
      </c>
    </row>
    <row r="998" spans="1:4" x14ac:dyDescent="0.35">
      <c r="A998" t="s">
        <v>896</v>
      </c>
      <c r="B998" s="8" t="s">
        <v>897</v>
      </c>
      <c r="C998" t="s">
        <v>6514</v>
      </c>
      <c r="D998" s="8" t="s">
        <v>6515</v>
      </c>
    </row>
    <row r="999" spans="1:4" x14ac:dyDescent="0.35">
      <c r="A999" t="s">
        <v>898</v>
      </c>
      <c r="B999" s="8" t="s">
        <v>899</v>
      </c>
      <c r="C999" t="s">
        <v>6500</v>
      </c>
      <c r="D999" s="8" t="s">
        <v>6501</v>
      </c>
    </row>
    <row r="1000" spans="1:4" x14ac:dyDescent="0.35">
      <c r="A1000" t="s">
        <v>898</v>
      </c>
      <c r="B1000" s="8" t="s">
        <v>899</v>
      </c>
      <c r="C1000" t="s">
        <v>6506</v>
      </c>
      <c r="D1000" s="8" t="s">
        <v>6507</v>
      </c>
    </row>
    <row r="1001" spans="1:4" x14ac:dyDescent="0.35">
      <c r="A1001" t="s">
        <v>898</v>
      </c>
      <c r="B1001" s="8" t="s">
        <v>899</v>
      </c>
      <c r="C1001" t="s">
        <v>6508</v>
      </c>
      <c r="D1001" s="8" t="s">
        <v>6509</v>
      </c>
    </row>
    <row r="1002" spans="1:4" x14ac:dyDescent="0.35">
      <c r="A1002" t="s">
        <v>898</v>
      </c>
      <c r="B1002" s="8" t="s">
        <v>899</v>
      </c>
      <c r="C1002" t="s">
        <v>6510</v>
      </c>
      <c r="D1002" s="8" t="s">
        <v>6511</v>
      </c>
    </row>
    <row r="1003" spans="1:4" x14ac:dyDescent="0.35">
      <c r="A1003" t="s">
        <v>898</v>
      </c>
      <c r="B1003" s="8" t="s">
        <v>899</v>
      </c>
      <c r="C1003" t="s">
        <v>6512</v>
      </c>
      <c r="D1003" s="8" t="s">
        <v>6513</v>
      </c>
    </row>
    <row r="1004" spans="1:4" x14ac:dyDescent="0.35">
      <c r="A1004" t="s">
        <v>898</v>
      </c>
      <c r="B1004" s="8" t="s">
        <v>899</v>
      </c>
      <c r="C1004" t="s">
        <v>6514</v>
      </c>
      <c r="D1004" s="8" t="s">
        <v>6515</v>
      </c>
    </row>
    <row r="1005" spans="1:4" x14ac:dyDescent="0.35">
      <c r="A1005" t="s">
        <v>898</v>
      </c>
      <c r="B1005" s="8" t="s">
        <v>899</v>
      </c>
      <c r="C1005" t="s">
        <v>6518</v>
      </c>
      <c r="D1005" s="8" t="s">
        <v>6519</v>
      </c>
    </row>
    <row r="1006" spans="1:4" x14ac:dyDescent="0.35">
      <c r="A1006" t="s">
        <v>900</v>
      </c>
      <c r="B1006" s="8" t="s">
        <v>901</v>
      </c>
      <c r="C1006" t="s">
        <v>6500</v>
      </c>
      <c r="D1006" s="8" t="s">
        <v>6501</v>
      </c>
    </row>
    <row r="1007" spans="1:4" x14ac:dyDescent="0.35">
      <c r="A1007" t="s">
        <v>900</v>
      </c>
      <c r="B1007" s="8" t="s">
        <v>901</v>
      </c>
      <c r="C1007" t="s">
        <v>6506</v>
      </c>
      <c r="D1007" s="8" t="s">
        <v>6507</v>
      </c>
    </row>
    <row r="1008" spans="1:4" x14ac:dyDescent="0.35">
      <c r="A1008" t="s">
        <v>900</v>
      </c>
      <c r="B1008" s="8" t="s">
        <v>901</v>
      </c>
      <c r="C1008" t="s">
        <v>6508</v>
      </c>
      <c r="D1008" s="8" t="s">
        <v>6509</v>
      </c>
    </row>
    <row r="1009" spans="1:4" x14ac:dyDescent="0.35">
      <c r="A1009" t="s">
        <v>900</v>
      </c>
      <c r="B1009" s="8" t="s">
        <v>901</v>
      </c>
      <c r="C1009" t="s">
        <v>6510</v>
      </c>
      <c r="D1009" s="8" t="s">
        <v>6511</v>
      </c>
    </row>
    <row r="1010" spans="1:4" x14ac:dyDescent="0.35">
      <c r="A1010" t="s">
        <v>900</v>
      </c>
      <c r="B1010" s="8" t="s">
        <v>901</v>
      </c>
      <c r="C1010" t="s">
        <v>6512</v>
      </c>
      <c r="D1010" s="8" t="s">
        <v>6513</v>
      </c>
    </row>
    <row r="1011" spans="1:4" x14ac:dyDescent="0.35">
      <c r="A1011" t="s">
        <v>900</v>
      </c>
      <c r="B1011" s="8" t="s">
        <v>901</v>
      </c>
      <c r="C1011" t="s">
        <v>6514</v>
      </c>
      <c r="D1011" s="8" t="s">
        <v>6515</v>
      </c>
    </row>
    <row r="1012" spans="1:4" x14ac:dyDescent="0.35">
      <c r="A1012" t="s">
        <v>900</v>
      </c>
      <c r="B1012" s="8" t="s">
        <v>901</v>
      </c>
      <c r="C1012" t="s">
        <v>6518</v>
      </c>
      <c r="D1012" s="8" t="s">
        <v>6519</v>
      </c>
    </row>
    <row r="1013" spans="1:4" x14ac:dyDescent="0.35">
      <c r="A1013" t="s">
        <v>902</v>
      </c>
      <c r="B1013" s="8" t="s">
        <v>903</v>
      </c>
      <c r="C1013" t="s">
        <v>6500</v>
      </c>
      <c r="D1013" s="8" t="s">
        <v>6501</v>
      </c>
    </row>
    <row r="1014" spans="1:4" x14ac:dyDescent="0.35">
      <c r="A1014" t="s">
        <v>902</v>
      </c>
      <c r="B1014" s="8" t="s">
        <v>903</v>
      </c>
      <c r="C1014" t="s">
        <v>6506</v>
      </c>
      <c r="D1014" s="8" t="s">
        <v>6507</v>
      </c>
    </row>
    <row r="1015" spans="1:4" x14ac:dyDescent="0.35">
      <c r="A1015" t="s">
        <v>902</v>
      </c>
      <c r="B1015" s="8" t="s">
        <v>903</v>
      </c>
      <c r="C1015" t="s">
        <v>6508</v>
      </c>
      <c r="D1015" s="8" t="s">
        <v>6509</v>
      </c>
    </row>
    <row r="1016" spans="1:4" x14ac:dyDescent="0.35">
      <c r="A1016" t="s">
        <v>904</v>
      </c>
      <c r="B1016" s="8" t="s">
        <v>905</v>
      </c>
      <c r="C1016" t="s">
        <v>6500</v>
      </c>
      <c r="D1016" s="8" t="s">
        <v>6501</v>
      </c>
    </row>
    <row r="1017" spans="1:4" x14ac:dyDescent="0.35">
      <c r="A1017" t="s">
        <v>904</v>
      </c>
      <c r="B1017" s="8" t="s">
        <v>905</v>
      </c>
      <c r="C1017" t="s">
        <v>6506</v>
      </c>
      <c r="D1017" s="8" t="s">
        <v>6507</v>
      </c>
    </row>
    <row r="1018" spans="1:4" x14ac:dyDescent="0.35">
      <c r="A1018" t="s">
        <v>904</v>
      </c>
      <c r="B1018" s="8" t="s">
        <v>905</v>
      </c>
      <c r="C1018" t="s">
        <v>6508</v>
      </c>
      <c r="D1018" s="8" t="s">
        <v>6509</v>
      </c>
    </row>
    <row r="1019" spans="1:4" x14ac:dyDescent="0.35">
      <c r="A1019" t="s">
        <v>904</v>
      </c>
      <c r="B1019" s="8" t="s">
        <v>905</v>
      </c>
      <c r="C1019" t="s">
        <v>6510</v>
      </c>
      <c r="D1019" s="8" t="s">
        <v>6511</v>
      </c>
    </row>
    <row r="1020" spans="1:4" ht="29" x14ac:dyDescent="0.35">
      <c r="A1020" t="s">
        <v>904</v>
      </c>
      <c r="B1020" s="8" t="s">
        <v>905</v>
      </c>
      <c r="C1020" t="s">
        <v>6502</v>
      </c>
      <c r="D1020" s="8" t="s">
        <v>6503</v>
      </c>
    </row>
    <row r="1021" spans="1:4" x14ac:dyDescent="0.35">
      <c r="A1021" t="s">
        <v>904</v>
      </c>
      <c r="B1021" s="8" t="s">
        <v>905</v>
      </c>
      <c r="C1021" t="s">
        <v>6504</v>
      </c>
      <c r="D1021" s="8" t="s">
        <v>6505</v>
      </c>
    </row>
    <row r="1022" spans="1:4" x14ac:dyDescent="0.35">
      <c r="A1022" t="s">
        <v>6562</v>
      </c>
      <c r="B1022" s="8" t="s">
        <v>906</v>
      </c>
      <c r="C1022" t="s">
        <v>6500</v>
      </c>
      <c r="D1022" s="8" t="s">
        <v>6501</v>
      </c>
    </row>
    <row r="1023" spans="1:4" x14ac:dyDescent="0.35">
      <c r="A1023" t="s">
        <v>6562</v>
      </c>
      <c r="B1023" s="8" t="s">
        <v>906</v>
      </c>
      <c r="C1023" t="s">
        <v>6483</v>
      </c>
      <c r="D1023" s="8" t="s">
        <v>6484</v>
      </c>
    </row>
    <row r="1024" spans="1:4" x14ac:dyDescent="0.35">
      <c r="A1024" t="s">
        <v>6562</v>
      </c>
      <c r="B1024" s="8" t="s">
        <v>906</v>
      </c>
      <c r="C1024" t="s">
        <v>6510</v>
      </c>
      <c r="D1024" s="8" t="s">
        <v>6511</v>
      </c>
    </row>
    <row r="1025" spans="1:4" x14ac:dyDescent="0.35">
      <c r="A1025" t="s">
        <v>6562</v>
      </c>
      <c r="B1025" s="8" t="s">
        <v>906</v>
      </c>
      <c r="C1025" t="s">
        <v>6512</v>
      </c>
      <c r="D1025" s="8" t="s">
        <v>6513</v>
      </c>
    </row>
    <row r="1026" spans="1:4" x14ac:dyDescent="0.35">
      <c r="A1026" t="s">
        <v>6562</v>
      </c>
      <c r="B1026" s="8" t="s">
        <v>906</v>
      </c>
      <c r="C1026" t="s">
        <v>6514</v>
      </c>
      <c r="D1026" s="8" t="s">
        <v>6515</v>
      </c>
    </row>
    <row r="1027" spans="1:4" x14ac:dyDescent="0.35">
      <c r="A1027" t="s">
        <v>6562</v>
      </c>
      <c r="B1027" s="8" t="s">
        <v>906</v>
      </c>
      <c r="C1027" t="s">
        <v>6560</v>
      </c>
      <c r="D1027" s="8" t="s">
        <v>6561</v>
      </c>
    </row>
    <row r="1028" spans="1:4" x14ac:dyDescent="0.35">
      <c r="A1028" t="s">
        <v>6562</v>
      </c>
      <c r="B1028" s="8" t="s">
        <v>906</v>
      </c>
      <c r="C1028" t="s">
        <v>6518</v>
      </c>
      <c r="D1028" s="8" t="s">
        <v>6519</v>
      </c>
    </row>
    <row r="1029" spans="1:4" x14ac:dyDescent="0.35">
      <c r="A1029" t="s">
        <v>6563</v>
      </c>
      <c r="B1029" s="8" t="s">
        <v>907</v>
      </c>
      <c r="C1029" t="s">
        <v>6506</v>
      </c>
      <c r="D1029" s="8" t="s">
        <v>6507</v>
      </c>
    </row>
    <row r="1030" spans="1:4" x14ac:dyDescent="0.35">
      <c r="A1030" t="s">
        <v>6563</v>
      </c>
      <c r="B1030" s="8" t="s">
        <v>907</v>
      </c>
      <c r="C1030" t="s">
        <v>6508</v>
      </c>
      <c r="D1030" s="8" t="s">
        <v>6509</v>
      </c>
    </row>
    <row r="1031" spans="1:4" x14ac:dyDescent="0.35">
      <c r="A1031" t="s">
        <v>6563</v>
      </c>
      <c r="B1031" s="8" t="s">
        <v>907</v>
      </c>
      <c r="C1031" t="s">
        <v>6510</v>
      </c>
      <c r="D1031" s="8" t="s">
        <v>6511</v>
      </c>
    </row>
    <row r="1032" spans="1:4" x14ac:dyDescent="0.35">
      <c r="A1032" t="s">
        <v>6563</v>
      </c>
      <c r="B1032" s="8" t="s">
        <v>907</v>
      </c>
      <c r="C1032" t="s">
        <v>6512</v>
      </c>
      <c r="D1032" s="8" t="s">
        <v>6513</v>
      </c>
    </row>
    <row r="1033" spans="1:4" x14ac:dyDescent="0.35">
      <c r="A1033" t="s">
        <v>6563</v>
      </c>
      <c r="B1033" s="8" t="s">
        <v>907</v>
      </c>
      <c r="C1033" t="s">
        <v>6514</v>
      </c>
      <c r="D1033" s="8" t="s">
        <v>6515</v>
      </c>
    </row>
    <row r="1034" spans="1:4" ht="29" x14ac:dyDescent="0.35">
      <c r="A1034" t="s">
        <v>6564</v>
      </c>
      <c r="B1034" s="8" t="s">
        <v>908</v>
      </c>
      <c r="C1034" t="s">
        <v>6500</v>
      </c>
      <c r="D1034" s="8" t="s">
        <v>6501</v>
      </c>
    </row>
    <row r="1035" spans="1:4" ht="29" x14ac:dyDescent="0.35">
      <c r="A1035" t="s">
        <v>6564</v>
      </c>
      <c r="B1035" s="8" t="s">
        <v>908</v>
      </c>
      <c r="C1035" t="s">
        <v>6510</v>
      </c>
      <c r="D1035" s="8" t="s">
        <v>6511</v>
      </c>
    </row>
    <row r="1036" spans="1:4" ht="29" x14ac:dyDescent="0.35">
      <c r="A1036" t="s">
        <v>6564</v>
      </c>
      <c r="B1036" s="8" t="s">
        <v>908</v>
      </c>
      <c r="C1036" t="s">
        <v>6512</v>
      </c>
      <c r="D1036" s="8" t="s">
        <v>6513</v>
      </c>
    </row>
    <row r="1037" spans="1:4" ht="29" x14ac:dyDescent="0.35">
      <c r="A1037" t="s">
        <v>6564</v>
      </c>
      <c r="B1037" s="8" t="s">
        <v>908</v>
      </c>
      <c r="C1037" t="s">
        <v>6514</v>
      </c>
      <c r="D1037" s="8" t="s">
        <v>6515</v>
      </c>
    </row>
    <row r="1038" spans="1:4" x14ac:dyDescent="0.35">
      <c r="A1038" t="s">
        <v>6565</v>
      </c>
      <c r="B1038" s="8" t="s">
        <v>909</v>
      </c>
      <c r="C1038" t="s">
        <v>6500</v>
      </c>
      <c r="D1038" s="8" t="s">
        <v>6501</v>
      </c>
    </row>
    <row r="1039" spans="1:4" ht="29" x14ac:dyDescent="0.35">
      <c r="A1039" t="s">
        <v>910</v>
      </c>
      <c r="B1039" s="8" t="s">
        <v>911</v>
      </c>
      <c r="C1039" t="s">
        <v>6163</v>
      </c>
      <c r="D1039" s="8" t="s">
        <v>6164</v>
      </c>
    </row>
    <row r="1040" spans="1:4" x14ac:dyDescent="0.35">
      <c r="A1040" t="s">
        <v>912</v>
      </c>
      <c r="B1040" s="8" t="s">
        <v>913</v>
      </c>
      <c r="C1040" t="s">
        <v>6115</v>
      </c>
      <c r="D1040" s="8" t="s">
        <v>6116</v>
      </c>
    </row>
    <row r="1041" spans="1:4" x14ac:dyDescent="0.35">
      <c r="A1041" t="s">
        <v>912</v>
      </c>
      <c r="B1041" s="8" t="s">
        <v>913</v>
      </c>
      <c r="C1041" t="s">
        <v>6500</v>
      </c>
      <c r="D1041" s="8" t="s">
        <v>6501</v>
      </c>
    </row>
    <row r="1042" spans="1:4" x14ac:dyDescent="0.35">
      <c r="A1042" t="s">
        <v>912</v>
      </c>
      <c r="B1042" s="8" t="s">
        <v>913</v>
      </c>
      <c r="C1042" t="s">
        <v>6144</v>
      </c>
      <c r="D1042" s="8" t="s">
        <v>6145</v>
      </c>
    </row>
    <row r="1043" spans="1:4" x14ac:dyDescent="0.35">
      <c r="A1043" t="s">
        <v>912</v>
      </c>
      <c r="B1043" s="8" t="s">
        <v>913</v>
      </c>
      <c r="C1043" t="s">
        <v>6566</v>
      </c>
      <c r="D1043" s="8" t="s">
        <v>6567</v>
      </c>
    </row>
    <row r="1044" spans="1:4" x14ac:dyDescent="0.35">
      <c r="A1044" t="s">
        <v>912</v>
      </c>
      <c r="B1044" s="8" t="s">
        <v>913</v>
      </c>
      <c r="C1044" t="s">
        <v>6568</v>
      </c>
      <c r="D1044" s="8" t="s">
        <v>6569</v>
      </c>
    </row>
    <row r="1045" spans="1:4" x14ac:dyDescent="0.35">
      <c r="A1045" t="s">
        <v>914</v>
      </c>
      <c r="B1045" s="8" t="s">
        <v>915</v>
      </c>
      <c r="C1045" t="s">
        <v>6500</v>
      </c>
      <c r="D1045" s="8" t="s">
        <v>6501</v>
      </c>
    </row>
    <row r="1046" spans="1:4" x14ac:dyDescent="0.35">
      <c r="A1046" t="s">
        <v>914</v>
      </c>
      <c r="B1046" s="8" t="s">
        <v>915</v>
      </c>
      <c r="C1046" t="s">
        <v>6570</v>
      </c>
      <c r="D1046" s="8" t="s">
        <v>6571</v>
      </c>
    </row>
    <row r="1047" spans="1:4" x14ac:dyDescent="0.35">
      <c r="A1047" t="s">
        <v>914</v>
      </c>
      <c r="B1047" s="8" t="s">
        <v>915</v>
      </c>
      <c r="C1047" t="s">
        <v>6512</v>
      </c>
      <c r="D1047" s="8" t="s">
        <v>6513</v>
      </c>
    </row>
    <row r="1048" spans="1:4" x14ac:dyDescent="0.35">
      <c r="A1048" t="s">
        <v>914</v>
      </c>
      <c r="B1048" s="8" t="s">
        <v>915</v>
      </c>
      <c r="C1048" t="s">
        <v>6514</v>
      </c>
      <c r="D1048" s="8" t="s">
        <v>6515</v>
      </c>
    </row>
    <row r="1049" spans="1:4" x14ac:dyDescent="0.35">
      <c r="A1049" t="s">
        <v>916</v>
      </c>
      <c r="B1049" s="8" t="s">
        <v>918</v>
      </c>
      <c r="C1049" t="s">
        <v>6572</v>
      </c>
      <c r="D1049" s="8" t="s">
        <v>6573</v>
      </c>
    </row>
    <row r="1050" spans="1:4" x14ac:dyDescent="0.35">
      <c r="A1050" t="s">
        <v>916</v>
      </c>
      <c r="B1050" s="8" t="s">
        <v>918</v>
      </c>
      <c r="C1050" t="s">
        <v>6500</v>
      </c>
      <c r="D1050" s="8" t="s">
        <v>6501</v>
      </c>
    </row>
    <row r="1051" spans="1:4" x14ac:dyDescent="0.35">
      <c r="A1051" t="s">
        <v>916</v>
      </c>
      <c r="B1051" s="8" t="s">
        <v>918</v>
      </c>
      <c r="C1051" t="s">
        <v>6144</v>
      </c>
      <c r="D1051" s="8" t="s">
        <v>6145</v>
      </c>
    </row>
    <row r="1052" spans="1:4" x14ac:dyDescent="0.35">
      <c r="A1052" t="s">
        <v>916</v>
      </c>
      <c r="B1052" s="8" t="s">
        <v>918</v>
      </c>
      <c r="C1052" t="s">
        <v>6566</v>
      </c>
      <c r="D1052" s="8" t="s">
        <v>6567</v>
      </c>
    </row>
    <row r="1053" spans="1:4" x14ac:dyDescent="0.35">
      <c r="A1053" t="s">
        <v>916</v>
      </c>
      <c r="B1053" s="8" t="s">
        <v>918</v>
      </c>
      <c r="C1053" t="s">
        <v>6568</v>
      </c>
      <c r="D1053" s="8" t="s">
        <v>6569</v>
      </c>
    </row>
    <row r="1054" spans="1:4" x14ac:dyDescent="0.35">
      <c r="A1054" t="s">
        <v>919</v>
      </c>
      <c r="B1054" s="8" t="s">
        <v>920</v>
      </c>
      <c r="C1054" t="s">
        <v>6500</v>
      </c>
      <c r="D1054" s="8" t="s">
        <v>6501</v>
      </c>
    </row>
    <row r="1055" spans="1:4" x14ac:dyDescent="0.35">
      <c r="A1055" t="s">
        <v>919</v>
      </c>
      <c r="B1055" s="8" t="s">
        <v>920</v>
      </c>
      <c r="C1055" t="s">
        <v>6514</v>
      </c>
      <c r="D1055" s="8" t="s">
        <v>6515</v>
      </c>
    </row>
    <row r="1056" spans="1:4" x14ac:dyDescent="0.35">
      <c r="A1056" t="s">
        <v>919</v>
      </c>
      <c r="B1056" s="8" t="s">
        <v>920</v>
      </c>
      <c r="C1056" t="s">
        <v>6518</v>
      </c>
      <c r="D1056" s="8" t="s">
        <v>6519</v>
      </c>
    </row>
    <row r="1057" spans="1:4" x14ac:dyDescent="0.35">
      <c r="A1057" t="s">
        <v>921</v>
      </c>
      <c r="B1057" s="8" t="s">
        <v>922</v>
      </c>
      <c r="C1057" t="s">
        <v>6500</v>
      </c>
      <c r="D1057" s="8" t="s">
        <v>6501</v>
      </c>
    </row>
    <row r="1058" spans="1:4" x14ac:dyDescent="0.35">
      <c r="A1058" t="s">
        <v>921</v>
      </c>
      <c r="B1058" s="8" t="s">
        <v>922</v>
      </c>
      <c r="C1058" t="s">
        <v>6574</v>
      </c>
      <c r="D1058" s="8" t="s">
        <v>6575</v>
      </c>
    </row>
    <row r="1059" spans="1:4" x14ac:dyDescent="0.35">
      <c r="A1059" t="s">
        <v>921</v>
      </c>
      <c r="B1059" s="8" t="s">
        <v>922</v>
      </c>
      <c r="C1059" t="s">
        <v>6512</v>
      </c>
      <c r="D1059" s="8" t="s">
        <v>6513</v>
      </c>
    </row>
    <row r="1060" spans="1:4" x14ac:dyDescent="0.35">
      <c r="A1060" t="s">
        <v>921</v>
      </c>
      <c r="B1060" s="8" t="s">
        <v>922</v>
      </c>
      <c r="C1060" t="s">
        <v>6514</v>
      </c>
      <c r="D1060" s="8" t="s">
        <v>6515</v>
      </c>
    </row>
    <row r="1061" spans="1:4" x14ac:dyDescent="0.35">
      <c r="A1061" t="s">
        <v>923</v>
      </c>
      <c r="B1061" s="8" t="s">
        <v>924</v>
      </c>
      <c r="C1061" t="s">
        <v>6500</v>
      </c>
      <c r="D1061" s="8" t="s">
        <v>6501</v>
      </c>
    </row>
    <row r="1062" spans="1:4" x14ac:dyDescent="0.35">
      <c r="A1062" t="s">
        <v>923</v>
      </c>
      <c r="B1062" s="8" t="s">
        <v>924</v>
      </c>
      <c r="C1062" t="s">
        <v>6576</v>
      </c>
      <c r="D1062" s="8" t="s">
        <v>6577</v>
      </c>
    </row>
    <row r="1063" spans="1:4" x14ac:dyDescent="0.35">
      <c r="A1063" t="s">
        <v>923</v>
      </c>
      <c r="B1063" s="8" t="s">
        <v>924</v>
      </c>
      <c r="C1063" t="s">
        <v>6512</v>
      </c>
      <c r="D1063" s="8" t="s">
        <v>6513</v>
      </c>
    </row>
    <row r="1064" spans="1:4" x14ac:dyDescent="0.35">
      <c r="A1064" t="s">
        <v>923</v>
      </c>
      <c r="B1064" s="8" t="s">
        <v>924</v>
      </c>
      <c r="C1064" t="s">
        <v>6514</v>
      </c>
      <c r="D1064" s="8" t="s">
        <v>6515</v>
      </c>
    </row>
    <row r="1065" spans="1:4" x14ac:dyDescent="0.35">
      <c r="A1065" t="s">
        <v>925</v>
      </c>
      <c r="B1065" s="8" t="s">
        <v>926</v>
      </c>
      <c r="C1065" t="s">
        <v>6500</v>
      </c>
      <c r="D1065" s="8" t="s">
        <v>6501</v>
      </c>
    </row>
    <row r="1066" spans="1:4" x14ac:dyDescent="0.35">
      <c r="A1066" t="s">
        <v>925</v>
      </c>
      <c r="B1066" s="8" t="s">
        <v>926</v>
      </c>
      <c r="C1066" t="s">
        <v>6512</v>
      </c>
      <c r="D1066" s="8" t="s">
        <v>6513</v>
      </c>
    </row>
    <row r="1067" spans="1:4" x14ac:dyDescent="0.35">
      <c r="A1067" t="s">
        <v>925</v>
      </c>
      <c r="B1067" s="8" t="s">
        <v>926</v>
      </c>
      <c r="C1067" t="s">
        <v>6514</v>
      </c>
      <c r="D1067" s="8" t="s">
        <v>6515</v>
      </c>
    </row>
    <row r="1068" spans="1:4" x14ac:dyDescent="0.35">
      <c r="A1068" t="s">
        <v>927</v>
      </c>
      <c r="B1068" s="8" t="s">
        <v>928</v>
      </c>
      <c r="C1068" t="s">
        <v>6500</v>
      </c>
      <c r="D1068" s="8" t="s">
        <v>6501</v>
      </c>
    </row>
    <row r="1069" spans="1:4" x14ac:dyDescent="0.35">
      <c r="A1069" t="s">
        <v>927</v>
      </c>
      <c r="B1069" s="8" t="s">
        <v>928</v>
      </c>
      <c r="C1069" t="s">
        <v>6578</v>
      </c>
      <c r="D1069" s="8" t="s">
        <v>6579</v>
      </c>
    </row>
    <row r="1070" spans="1:4" x14ac:dyDescent="0.35">
      <c r="A1070" t="s">
        <v>927</v>
      </c>
      <c r="B1070" s="8" t="s">
        <v>928</v>
      </c>
      <c r="C1070" t="s">
        <v>6512</v>
      </c>
      <c r="D1070" s="8" t="s">
        <v>6513</v>
      </c>
    </row>
    <row r="1071" spans="1:4" x14ac:dyDescent="0.35">
      <c r="A1071" t="s">
        <v>927</v>
      </c>
      <c r="B1071" s="8" t="s">
        <v>928</v>
      </c>
      <c r="C1071" t="s">
        <v>6566</v>
      </c>
      <c r="D1071" s="8" t="s">
        <v>6567</v>
      </c>
    </row>
    <row r="1072" spans="1:4" x14ac:dyDescent="0.35">
      <c r="A1072" t="s">
        <v>927</v>
      </c>
      <c r="B1072" s="8" t="s">
        <v>928</v>
      </c>
      <c r="C1072" t="s">
        <v>6514</v>
      </c>
      <c r="D1072" s="8" t="s">
        <v>6515</v>
      </c>
    </row>
    <row r="1073" spans="1:4" x14ac:dyDescent="0.35">
      <c r="A1073" t="s">
        <v>927</v>
      </c>
      <c r="B1073" s="8" t="s">
        <v>928</v>
      </c>
      <c r="C1073" t="s">
        <v>6568</v>
      </c>
      <c r="D1073" s="8" t="s">
        <v>6569</v>
      </c>
    </row>
    <row r="1074" spans="1:4" x14ac:dyDescent="0.35">
      <c r="A1074" t="s">
        <v>929</v>
      </c>
      <c r="B1074" s="8" t="s">
        <v>930</v>
      </c>
      <c r="C1074" t="s">
        <v>6500</v>
      </c>
      <c r="D1074" s="8" t="s">
        <v>6501</v>
      </c>
    </row>
    <row r="1075" spans="1:4" x14ac:dyDescent="0.35">
      <c r="A1075" t="s">
        <v>929</v>
      </c>
      <c r="B1075" s="8" t="s">
        <v>930</v>
      </c>
      <c r="C1075" t="s">
        <v>6144</v>
      </c>
      <c r="D1075" s="8" t="s">
        <v>6145</v>
      </c>
    </row>
    <row r="1076" spans="1:4" x14ac:dyDescent="0.35">
      <c r="A1076" t="s">
        <v>929</v>
      </c>
      <c r="B1076" s="8" t="s">
        <v>930</v>
      </c>
      <c r="C1076" t="s">
        <v>6512</v>
      </c>
      <c r="D1076" s="8" t="s">
        <v>6513</v>
      </c>
    </row>
    <row r="1077" spans="1:4" x14ac:dyDescent="0.35">
      <c r="A1077" t="s">
        <v>929</v>
      </c>
      <c r="B1077" s="8" t="s">
        <v>930</v>
      </c>
      <c r="C1077" t="s">
        <v>6566</v>
      </c>
      <c r="D1077" s="8" t="s">
        <v>6567</v>
      </c>
    </row>
    <row r="1078" spans="1:4" x14ac:dyDescent="0.35">
      <c r="A1078" t="s">
        <v>929</v>
      </c>
      <c r="B1078" s="8" t="s">
        <v>930</v>
      </c>
      <c r="C1078" t="s">
        <v>6514</v>
      </c>
      <c r="D1078" s="8" t="s">
        <v>6515</v>
      </c>
    </row>
    <row r="1079" spans="1:4" x14ac:dyDescent="0.35">
      <c r="A1079" t="s">
        <v>929</v>
      </c>
      <c r="B1079" s="8" t="s">
        <v>930</v>
      </c>
      <c r="C1079" t="s">
        <v>6568</v>
      </c>
      <c r="D1079" s="8" t="s">
        <v>6569</v>
      </c>
    </row>
    <row r="1080" spans="1:4" ht="29" x14ac:dyDescent="0.35">
      <c r="A1080" t="s">
        <v>931</v>
      </c>
      <c r="B1080" s="8" t="s">
        <v>932</v>
      </c>
      <c r="C1080" t="s">
        <v>6572</v>
      </c>
      <c r="D1080" s="8" t="s">
        <v>6573</v>
      </c>
    </row>
    <row r="1081" spans="1:4" ht="29" x14ac:dyDescent="0.35">
      <c r="A1081" t="s">
        <v>931</v>
      </c>
      <c r="B1081" s="8" t="s">
        <v>932</v>
      </c>
      <c r="C1081" t="s">
        <v>6500</v>
      </c>
      <c r="D1081" s="8" t="s">
        <v>6501</v>
      </c>
    </row>
    <row r="1082" spans="1:4" ht="29" x14ac:dyDescent="0.35">
      <c r="A1082" t="s">
        <v>931</v>
      </c>
      <c r="B1082" s="8" t="s">
        <v>932</v>
      </c>
      <c r="C1082" t="s">
        <v>6144</v>
      </c>
      <c r="D1082" s="8" t="s">
        <v>6145</v>
      </c>
    </row>
    <row r="1083" spans="1:4" ht="29" x14ac:dyDescent="0.35">
      <c r="A1083" t="s">
        <v>931</v>
      </c>
      <c r="B1083" s="8" t="s">
        <v>932</v>
      </c>
      <c r="C1083" t="s">
        <v>6566</v>
      </c>
      <c r="D1083" s="8" t="s">
        <v>6567</v>
      </c>
    </row>
    <row r="1084" spans="1:4" ht="29" x14ac:dyDescent="0.35">
      <c r="A1084" t="s">
        <v>931</v>
      </c>
      <c r="B1084" s="8" t="s">
        <v>932</v>
      </c>
      <c r="C1084" t="s">
        <v>6568</v>
      </c>
      <c r="D1084" s="8" t="s">
        <v>6569</v>
      </c>
    </row>
    <row r="1085" spans="1:4" x14ac:dyDescent="0.35">
      <c r="A1085" t="s">
        <v>933</v>
      </c>
      <c r="B1085" s="8" t="s">
        <v>934</v>
      </c>
      <c r="C1085" t="s">
        <v>6580</v>
      </c>
      <c r="D1085" s="8" t="s">
        <v>6581</v>
      </c>
    </row>
    <row r="1086" spans="1:4" x14ac:dyDescent="0.35">
      <c r="A1086" t="s">
        <v>933</v>
      </c>
      <c r="B1086" s="8" t="s">
        <v>934</v>
      </c>
      <c r="C1086" t="s">
        <v>6500</v>
      </c>
      <c r="D1086" s="8" t="s">
        <v>6501</v>
      </c>
    </row>
    <row r="1087" spans="1:4" x14ac:dyDescent="0.35">
      <c r="A1087" t="s">
        <v>933</v>
      </c>
      <c r="B1087" s="8" t="s">
        <v>934</v>
      </c>
      <c r="C1087" t="s">
        <v>6512</v>
      </c>
      <c r="D1087" s="8" t="s">
        <v>6513</v>
      </c>
    </row>
    <row r="1088" spans="1:4" x14ac:dyDescent="0.35">
      <c r="A1088" t="s">
        <v>933</v>
      </c>
      <c r="B1088" s="8" t="s">
        <v>934</v>
      </c>
      <c r="C1088" t="s">
        <v>6514</v>
      </c>
      <c r="D1088" s="8" t="s">
        <v>6515</v>
      </c>
    </row>
    <row r="1089" spans="1:4" x14ac:dyDescent="0.35">
      <c r="A1089" t="s">
        <v>935</v>
      </c>
      <c r="B1089" s="8" t="s">
        <v>936</v>
      </c>
      <c r="C1089" t="s">
        <v>6500</v>
      </c>
      <c r="D1089" s="8" t="s">
        <v>6501</v>
      </c>
    </row>
    <row r="1090" spans="1:4" x14ac:dyDescent="0.35">
      <c r="A1090" t="s">
        <v>935</v>
      </c>
      <c r="B1090" s="8" t="s">
        <v>936</v>
      </c>
      <c r="C1090" t="s">
        <v>6570</v>
      </c>
      <c r="D1090" s="8" t="s">
        <v>6571</v>
      </c>
    </row>
    <row r="1091" spans="1:4" x14ac:dyDescent="0.35">
      <c r="A1091" t="s">
        <v>935</v>
      </c>
      <c r="B1091" s="8" t="s">
        <v>936</v>
      </c>
      <c r="C1091" t="s">
        <v>6512</v>
      </c>
      <c r="D1091" s="8" t="s">
        <v>6513</v>
      </c>
    </row>
    <row r="1092" spans="1:4" x14ac:dyDescent="0.35">
      <c r="A1092" t="s">
        <v>935</v>
      </c>
      <c r="B1092" s="8" t="s">
        <v>936</v>
      </c>
      <c r="C1092" t="s">
        <v>6514</v>
      </c>
      <c r="D1092" s="8" t="s">
        <v>6515</v>
      </c>
    </row>
    <row r="1093" spans="1:4" x14ac:dyDescent="0.35">
      <c r="A1093" t="s">
        <v>937</v>
      </c>
      <c r="B1093" s="8" t="s">
        <v>938</v>
      </c>
      <c r="C1093" t="s">
        <v>6500</v>
      </c>
      <c r="D1093" s="8" t="s">
        <v>6501</v>
      </c>
    </row>
    <row r="1094" spans="1:4" x14ac:dyDescent="0.35">
      <c r="A1094" t="s">
        <v>937</v>
      </c>
      <c r="B1094" s="8" t="s">
        <v>938</v>
      </c>
      <c r="C1094" t="s">
        <v>6582</v>
      </c>
      <c r="D1094" s="8" t="s">
        <v>6583</v>
      </c>
    </row>
    <row r="1095" spans="1:4" x14ac:dyDescent="0.35">
      <c r="A1095" t="s">
        <v>937</v>
      </c>
      <c r="B1095" s="8" t="s">
        <v>938</v>
      </c>
      <c r="C1095" t="s">
        <v>6512</v>
      </c>
      <c r="D1095" s="8" t="s">
        <v>6513</v>
      </c>
    </row>
    <row r="1096" spans="1:4" x14ac:dyDescent="0.35">
      <c r="A1096" t="s">
        <v>937</v>
      </c>
      <c r="B1096" s="8" t="s">
        <v>938</v>
      </c>
      <c r="C1096" t="s">
        <v>6514</v>
      </c>
      <c r="D1096" s="8" t="s">
        <v>6515</v>
      </c>
    </row>
    <row r="1097" spans="1:4" x14ac:dyDescent="0.35">
      <c r="A1097" t="s">
        <v>937</v>
      </c>
      <c r="B1097" s="8" t="s">
        <v>938</v>
      </c>
      <c r="C1097" t="s">
        <v>6584</v>
      </c>
      <c r="D1097" s="8" t="s">
        <v>6585</v>
      </c>
    </row>
    <row r="1098" spans="1:4" x14ac:dyDescent="0.35">
      <c r="A1098" t="s">
        <v>937</v>
      </c>
      <c r="B1098" s="8" t="s">
        <v>938</v>
      </c>
      <c r="C1098" t="s">
        <v>6586</v>
      </c>
      <c r="D1098" s="8" t="s">
        <v>6587</v>
      </c>
    </row>
    <row r="1099" spans="1:4" x14ac:dyDescent="0.35">
      <c r="A1099" t="s">
        <v>939</v>
      </c>
      <c r="B1099" s="8" t="s">
        <v>940</v>
      </c>
      <c r="C1099" t="s">
        <v>6500</v>
      </c>
      <c r="D1099" s="8" t="s">
        <v>6501</v>
      </c>
    </row>
    <row r="1100" spans="1:4" x14ac:dyDescent="0.35">
      <c r="A1100" t="s">
        <v>939</v>
      </c>
      <c r="B1100" s="8" t="s">
        <v>940</v>
      </c>
      <c r="C1100" t="s">
        <v>6512</v>
      </c>
      <c r="D1100" s="8" t="s">
        <v>6513</v>
      </c>
    </row>
    <row r="1101" spans="1:4" x14ac:dyDescent="0.35">
      <c r="A1101" t="s">
        <v>939</v>
      </c>
      <c r="B1101" s="8" t="s">
        <v>940</v>
      </c>
      <c r="C1101" t="s">
        <v>6514</v>
      </c>
      <c r="D1101" s="8" t="s">
        <v>6515</v>
      </c>
    </row>
    <row r="1102" spans="1:4" x14ac:dyDescent="0.35">
      <c r="A1102" t="s">
        <v>941</v>
      </c>
      <c r="B1102" s="8" t="s">
        <v>942</v>
      </c>
      <c r="C1102" t="s">
        <v>6115</v>
      </c>
      <c r="D1102" s="8" t="s">
        <v>6116</v>
      </c>
    </row>
    <row r="1103" spans="1:4" x14ac:dyDescent="0.35">
      <c r="A1103" t="s">
        <v>941</v>
      </c>
      <c r="B1103" s="8" t="s">
        <v>942</v>
      </c>
      <c r="C1103" t="s">
        <v>6588</v>
      </c>
      <c r="D1103" s="8" t="s">
        <v>6589</v>
      </c>
    </row>
    <row r="1104" spans="1:4" x14ac:dyDescent="0.35">
      <c r="A1104" t="s">
        <v>941</v>
      </c>
      <c r="B1104" s="8" t="s">
        <v>942</v>
      </c>
      <c r="C1104" t="s">
        <v>6150</v>
      </c>
      <c r="D1104" s="8" t="s">
        <v>6151</v>
      </c>
    </row>
    <row r="1105" spans="1:4" x14ac:dyDescent="0.35">
      <c r="A1105" t="s">
        <v>941</v>
      </c>
      <c r="B1105" s="8" t="s">
        <v>942</v>
      </c>
      <c r="C1105" t="s">
        <v>6590</v>
      </c>
      <c r="D1105" s="8" t="s">
        <v>6591</v>
      </c>
    </row>
    <row r="1106" spans="1:4" x14ac:dyDescent="0.35">
      <c r="A1106" t="s">
        <v>941</v>
      </c>
      <c r="B1106" s="8" t="s">
        <v>942</v>
      </c>
      <c r="C1106" t="s">
        <v>6592</v>
      </c>
      <c r="D1106" s="8" t="s">
        <v>6593</v>
      </c>
    </row>
    <row r="1107" spans="1:4" x14ac:dyDescent="0.35">
      <c r="A1107" t="s">
        <v>941</v>
      </c>
      <c r="B1107" s="8" t="s">
        <v>942</v>
      </c>
      <c r="C1107" t="s">
        <v>6239</v>
      </c>
      <c r="D1107" s="8" t="s">
        <v>6240</v>
      </c>
    </row>
    <row r="1108" spans="1:4" x14ac:dyDescent="0.35">
      <c r="A1108" t="s">
        <v>941</v>
      </c>
      <c r="B1108" s="8" t="s">
        <v>942</v>
      </c>
      <c r="C1108" t="s">
        <v>6594</v>
      </c>
      <c r="D1108" s="8" t="s">
        <v>6595</v>
      </c>
    </row>
    <row r="1109" spans="1:4" x14ac:dyDescent="0.35">
      <c r="A1109" t="s">
        <v>941</v>
      </c>
      <c r="B1109" s="8" t="s">
        <v>942</v>
      </c>
      <c r="C1109" t="s">
        <v>6500</v>
      </c>
      <c r="D1109" s="8" t="s">
        <v>6501</v>
      </c>
    </row>
    <row r="1110" spans="1:4" x14ac:dyDescent="0.35">
      <c r="A1110" t="s">
        <v>941</v>
      </c>
      <c r="B1110" s="8" t="s">
        <v>942</v>
      </c>
      <c r="C1110" t="s">
        <v>6512</v>
      </c>
      <c r="D1110" s="8" t="s">
        <v>6513</v>
      </c>
    </row>
    <row r="1111" spans="1:4" x14ac:dyDescent="0.35">
      <c r="A1111" t="s">
        <v>941</v>
      </c>
      <c r="B1111" s="8" t="s">
        <v>942</v>
      </c>
      <c r="C1111" t="s">
        <v>6514</v>
      </c>
      <c r="D1111" s="8" t="s">
        <v>6515</v>
      </c>
    </row>
    <row r="1112" spans="1:4" x14ac:dyDescent="0.35">
      <c r="A1112" t="s">
        <v>943</v>
      </c>
      <c r="B1112" s="8" t="s">
        <v>944</v>
      </c>
      <c r="C1112" t="s">
        <v>6500</v>
      </c>
      <c r="D1112" s="8" t="s">
        <v>6501</v>
      </c>
    </row>
    <row r="1113" spans="1:4" x14ac:dyDescent="0.35">
      <c r="A1113" t="s">
        <v>943</v>
      </c>
      <c r="B1113" s="8" t="s">
        <v>944</v>
      </c>
      <c r="C1113" t="s">
        <v>6512</v>
      </c>
      <c r="D1113" s="8" t="s">
        <v>6513</v>
      </c>
    </row>
    <row r="1114" spans="1:4" x14ac:dyDescent="0.35">
      <c r="A1114" t="s">
        <v>943</v>
      </c>
      <c r="B1114" s="8" t="s">
        <v>944</v>
      </c>
      <c r="C1114" t="s">
        <v>6514</v>
      </c>
      <c r="D1114" s="8" t="s">
        <v>6515</v>
      </c>
    </row>
    <row r="1115" spans="1:4" x14ac:dyDescent="0.35">
      <c r="A1115" t="s">
        <v>945</v>
      </c>
      <c r="B1115" s="8" t="s">
        <v>946</v>
      </c>
      <c r="C1115" t="s">
        <v>6512</v>
      </c>
      <c r="D1115" s="8" t="s">
        <v>6513</v>
      </c>
    </row>
    <row r="1116" spans="1:4" x14ac:dyDescent="0.35">
      <c r="A1116" t="s">
        <v>945</v>
      </c>
      <c r="B1116" s="8" t="s">
        <v>946</v>
      </c>
      <c r="C1116" t="s">
        <v>6514</v>
      </c>
      <c r="D1116" s="8" t="s">
        <v>6515</v>
      </c>
    </row>
    <row r="1117" spans="1:4" x14ac:dyDescent="0.35">
      <c r="A1117" t="s">
        <v>947</v>
      </c>
      <c r="B1117" s="8" t="s">
        <v>948</v>
      </c>
      <c r="C1117" t="s">
        <v>6500</v>
      </c>
      <c r="D1117" s="8" t="s">
        <v>6501</v>
      </c>
    </row>
    <row r="1118" spans="1:4" x14ac:dyDescent="0.35">
      <c r="A1118" t="s">
        <v>947</v>
      </c>
      <c r="B1118" s="8" t="s">
        <v>948</v>
      </c>
      <c r="C1118" t="s">
        <v>6144</v>
      </c>
      <c r="D1118" s="8" t="s">
        <v>6145</v>
      </c>
    </row>
    <row r="1119" spans="1:4" x14ac:dyDescent="0.35">
      <c r="A1119" t="s">
        <v>947</v>
      </c>
      <c r="B1119" s="8" t="s">
        <v>948</v>
      </c>
      <c r="C1119" t="s">
        <v>6566</v>
      </c>
      <c r="D1119" s="8" t="s">
        <v>6567</v>
      </c>
    </row>
    <row r="1120" spans="1:4" x14ac:dyDescent="0.35">
      <c r="A1120" t="s">
        <v>947</v>
      </c>
      <c r="B1120" s="8" t="s">
        <v>948</v>
      </c>
      <c r="C1120" t="s">
        <v>6568</v>
      </c>
      <c r="D1120" s="8" t="s">
        <v>6569</v>
      </c>
    </row>
    <row r="1121" spans="1:4" x14ac:dyDescent="0.35">
      <c r="A1121" t="s">
        <v>949</v>
      </c>
      <c r="B1121" s="8" t="s">
        <v>950</v>
      </c>
      <c r="C1121" t="s">
        <v>6500</v>
      </c>
      <c r="D1121" s="8" t="s">
        <v>6501</v>
      </c>
    </row>
    <row r="1122" spans="1:4" x14ac:dyDescent="0.35">
      <c r="A1122" t="s">
        <v>949</v>
      </c>
      <c r="B1122" s="8" t="s">
        <v>950</v>
      </c>
      <c r="C1122" t="s">
        <v>6144</v>
      </c>
      <c r="D1122" s="8" t="s">
        <v>6145</v>
      </c>
    </row>
    <row r="1123" spans="1:4" x14ac:dyDescent="0.35">
      <c r="A1123" t="s">
        <v>949</v>
      </c>
      <c r="B1123" s="8" t="s">
        <v>950</v>
      </c>
      <c r="C1123" t="s">
        <v>6566</v>
      </c>
      <c r="D1123" s="8" t="s">
        <v>6567</v>
      </c>
    </row>
    <row r="1124" spans="1:4" x14ac:dyDescent="0.35">
      <c r="A1124" t="s">
        <v>949</v>
      </c>
      <c r="B1124" s="8" t="s">
        <v>950</v>
      </c>
      <c r="C1124" t="s">
        <v>6568</v>
      </c>
      <c r="D1124" s="8" t="s">
        <v>6569</v>
      </c>
    </row>
    <row r="1125" spans="1:4" x14ac:dyDescent="0.35">
      <c r="A1125" t="s">
        <v>951</v>
      </c>
      <c r="B1125" s="8" t="s">
        <v>952</v>
      </c>
      <c r="C1125" t="s">
        <v>6412</v>
      </c>
      <c r="D1125" s="8" t="s">
        <v>6413</v>
      </c>
    </row>
    <row r="1126" spans="1:4" x14ac:dyDescent="0.35">
      <c r="A1126" t="s">
        <v>951</v>
      </c>
      <c r="B1126" s="8" t="s">
        <v>952</v>
      </c>
      <c r="C1126" t="s">
        <v>6500</v>
      </c>
      <c r="D1126" s="8" t="s">
        <v>6501</v>
      </c>
    </row>
    <row r="1127" spans="1:4" x14ac:dyDescent="0.35">
      <c r="A1127" t="s">
        <v>951</v>
      </c>
      <c r="B1127" s="8" t="s">
        <v>952</v>
      </c>
      <c r="C1127" t="s">
        <v>6512</v>
      </c>
      <c r="D1127" s="8" t="s">
        <v>6513</v>
      </c>
    </row>
    <row r="1128" spans="1:4" x14ac:dyDescent="0.35">
      <c r="A1128" t="s">
        <v>951</v>
      </c>
      <c r="B1128" s="8" t="s">
        <v>952</v>
      </c>
      <c r="C1128" t="s">
        <v>6514</v>
      </c>
      <c r="D1128" s="8" t="s">
        <v>6515</v>
      </c>
    </row>
    <row r="1129" spans="1:4" x14ac:dyDescent="0.35">
      <c r="A1129" t="s">
        <v>953</v>
      </c>
      <c r="B1129" s="8" t="s">
        <v>954</v>
      </c>
      <c r="C1129" t="s">
        <v>6588</v>
      </c>
      <c r="D1129" s="8" t="s">
        <v>6589</v>
      </c>
    </row>
    <row r="1130" spans="1:4" x14ac:dyDescent="0.35">
      <c r="A1130" t="s">
        <v>953</v>
      </c>
      <c r="B1130" s="8" t="s">
        <v>954</v>
      </c>
      <c r="C1130" t="s">
        <v>6500</v>
      </c>
      <c r="D1130" s="8" t="s">
        <v>6501</v>
      </c>
    </row>
    <row r="1131" spans="1:4" x14ac:dyDescent="0.35">
      <c r="A1131" t="s">
        <v>953</v>
      </c>
      <c r="B1131" s="8" t="s">
        <v>954</v>
      </c>
      <c r="C1131" t="s">
        <v>6512</v>
      </c>
      <c r="D1131" s="8" t="s">
        <v>6513</v>
      </c>
    </row>
    <row r="1132" spans="1:4" x14ac:dyDescent="0.35">
      <c r="A1132" t="s">
        <v>953</v>
      </c>
      <c r="B1132" s="8" t="s">
        <v>954</v>
      </c>
      <c r="C1132" t="s">
        <v>6514</v>
      </c>
      <c r="D1132" s="8" t="s">
        <v>6515</v>
      </c>
    </row>
    <row r="1133" spans="1:4" x14ac:dyDescent="0.35">
      <c r="A1133" t="s">
        <v>955</v>
      </c>
      <c r="B1133" s="8" t="s">
        <v>956</v>
      </c>
      <c r="C1133" t="s">
        <v>6592</v>
      </c>
      <c r="D1133" s="8" t="s">
        <v>6593</v>
      </c>
    </row>
    <row r="1134" spans="1:4" x14ac:dyDescent="0.35">
      <c r="A1134" t="s">
        <v>955</v>
      </c>
      <c r="B1134" s="8" t="s">
        <v>956</v>
      </c>
      <c r="C1134" t="s">
        <v>6500</v>
      </c>
      <c r="D1134" s="8" t="s">
        <v>6501</v>
      </c>
    </row>
    <row r="1135" spans="1:4" x14ac:dyDescent="0.35">
      <c r="A1135" t="s">
        <v>955</v>
      </c>
      <c r="B1135" s="8" t="s">
        <v>956</v>
      </c>
      <c r="C1135" t="s">
        <v>6512</v>
      </c>
      <c r="D1135" s="8" t="s">
        <v>6513</v>
      </c>
    </row>
    <row r="1136" spans="1:4" x14ac:dyDescent="0.35">
      <c r="A1136" t="s">
        <v>955</v>
      </c>
      <c r="B1136" s="8" t="s">
        <v>956</v>
      </c>
      <c r="C1136" t="s">
        <v>6514</v>
      </c>
      <c r="D1136" s="8" t="s">
        <v>6515</v>
      </c>
    </row>
    <row r="1137" spans="1:4" x14ac:dyDescent="0.35">
      <c r="A1137" t="s">
        <v>957</v>
      </c>
      <c r="B1137" s="8" t="s">
        <v>958</v>
      </c>
      <c r="C1137" t="s">
        <v>6500</v>
      </c>
      <c r="D1137" s="8" t="s">
        <v>6501</v>
      </c>
    </row>
    <row r="1138" spans="1:4" x14ac:dyDescent="0.35">
      <c r="A1138" t="s">
        <v>957</v>
      </c>
      <c r="B1138" s="8" t="s">
        <v>958</v>
      </c>
      <c r="C1138" t="s">
        <v>6570</v>
      </c>
      <c r="D1138" s="8" t="s">
        <v>6571</v>
      </c>
    </row>
    <row r="1139" spans="1:4" x14ac:dyDescent="0.35">
      <c r="A1139" t="s">
        <v>957</v>
      </c>
      <c r="B1139" s="8" t="s">
        <v>958</v>
      </c>
      <c r="C1139" t="s">
        <v>6512</v>
      </c>
      <c r="D1139" s="8" t="s">
        <v>6513</v>
      </c>
    </row>
    <row r="1140" spans="1:4" x14ac:dyDescent="0.35">
      <c r="A1140" t="s">
        <v>957</v>
      </c>
      <c r="B1140" s="8" t="s">
        <v>958</v>
      </c>
      <c r="C1140" t="s">
        <v>6514</v>
      </c>
      <c r="D1140" s="8" t="s">
        <v>6515</v>
      </c>
    </row>
    <row r="1141" spans="1:4" x14ac:dyDescent="0.35">
      <c r="A1141" t="s">
        <v>959</v>
      </c>
      <c r="B1141" s="8" t="s">
        <v>960</v>
      </c>
      <c r="C1141" t="s">
        <v>6500</v>
      </c>
      <c r="D1141" s="8" t="s">
        <v>6501</v>
      </c>
    </row>
    <row r="1142" spans="1:4" x14ac:dyDescent="0.35">
      <c r="A1142" t="s">
        <v>959</v>
      </c>
      <c r="B1142" s="8" t="s">
        <v>960</v>
      </c>
      <c r="C1142" t="s">
        <v>6576</v>
      </c>
      <c r="D1142" s="8" t="s">
        <v>6577</v>
      </c>
    </row>
    <row r="1143" spans="1:4" x14ac:dyDescent="0.35">
      <c r="A1143" t="s">
        <v>959</v>
      </c>
      <c r="B1143" s="8" t="s">
        <v>960</v>
      </c>
      <c r="C1143" t="s">
        <v>6512</v>
      </c>
      <c r="D1143" s="8" t="s">
        <v>6513</v>
      </c>
    </row>
    <row r="1144" spans="1:4" x14ac:dyDescent="0.35">
      <c r="A1144" t="s">
        <v>959</v>
      </c>
      <c r="B1144" s="8" t="s">
        <v>960</v>
      </c>
      <c r="C1144" t="s">
        <v>6514</v>
      </c>
      <c r="D1144" s="8" t="s">
        <v>6515</v>
      </c>
    </row>
    <row r="1145" spans="1:4" x14ac:dyDescent="0.35">
      <c r="A1145" t="s">
        <v>961</v>
      </c>
      <c r="B1145" s="8" t="s">
        <v>962</v>
      </c>
      <c r="C1145" t="s">
        <v>6500</v>
      </c>
      <c r="D1145" s="8" t="s">
        <v>6501</v>
      </c>
    </row>
    <row r="1146" spans="1:4" x14ac:dyDescent="0.35">
      <c r="A1146" t="s">
        <v>961</v>
      </c>
      <c r="B1146" s="8" t="s">
        <v>962</v>
      </c>
      <c r="C1146" t="s">
        <v>6576</v>
      </c>
      <c r="D1146" s="8" t="s">
        <v>6577</v>
      </c>
    </row>
    <row r="1147" spans="1:4" x14ac:dyDescent="0.35">
      <c r="A1147" t="s">
        <v>961</v>
      </c>
      <c r="B1147" s="8" t="s">
        <v>962</v>
      </c>
      <c r="C1147" t="s">
        <v>6512</v>
      </c>
      <c r="D1147" s="8" t="s">
        <v>6513</v>
      </c>
    </row>
    <row r="1148" spans="1:4" x14ac:dyDescent="0.35">
      <c r="A1148" t="s">
        <v>961</v>
      </c>
      <c r="B1148" s="8" t="s">
        <v>962</v>
      </c>
      <c r="C1148" t="s">
        <v>6514</v>
      </c>
      <c r="D1148" s="8" t="s">
        <v>6515</v>
      </c>
    </row>
    <row r="1149" spans="1:4" x14ac:dyDescent="0.35">
      <c r="A1149" t="s">
        <v>963</v>
      </c>
      <c r="B1149" s="8" t="s">
        <v>964</v>
      </c>
      <c r="C1149" t="s">
        <v>6194</v>
      </c>
      <c r="D1149" s="8" t="s">
        <v>6195</v>
      </c>
    </row>
    <row r="1150" spans="1:4" x14ac:dyDescent="0.35">
      <c r="A1150" t="s">
        <v>963</v>
      </c>
      <c r="B1150" s="8" t="s">
        <v>964</v>
      </c>
      <c r="C1150" t="s">
        <v>6144</v>
      </c>
      <c r="D1150" s="8" t="s">
        <v>6145</v>
      </c>
    </row>
    <row r="1151" spans="1:4" x14ac:dyDescent="0.35">
      <c r="A1151" t="s">
        <v>963</v>
      </c>
      <c r="B1151" s="8" t="s">
        <v>964</v>
      </c>
      <c r="C1151" t="s">
        <v>6512</v>
      </c>
      <c r="D1151" s="8" t="s">
        <v>6513</v>
      </c>
    </row>
    <row r="1152" spans="1:4" x14ac:dyDescent="0.35">
      <c r="A1152" t="s">
        <v>963</v>
      </c>
      <c r="B1152" s="8" t="s">
        <v>964</v>
      </c>
      <c r="C1152" t="s">
        <v>6566</v>
      </c>
      <c r="D1152" s="8" t="s">
        <v>6567</v>
      </c>
    </row>
    <row r="1153" spans="1:4" x14ac:dyDescent="0.35">
      <c r="A1153" t="s">
        <v>963</v>
      </c>
      <c r="B1153" s="8" t="s">
        <v>964</v>
      </c>
      <c r="C1153" t="s">
        <v>6568</v>
      </c>
      <c r="D1153" s="8" t="s">
        <v>6569</v>
      </c>
    </row>
    <row r="1154" spans="1:4" x14ac:dyDescent="0.35">
      <c r="A1154" t="s">
        <v>965</v>
      </c>
      <c r="B1154" s="8" t="s">
        <v>966</v>
      </c>
      <c r="C1154" t="s">
        <v>6500</v>
      </c>
      <c r="D1154" s="8" t="s">
        <v>6501</v>
      </c>
    </row>
    <row r="1155" spans="1:4" x14ac:dyDescent="0.35">
      <c r="A1155" t="s">
        <v>965</v>
      </c>
      <c r="B1155" s="8" t="s">
        <v>966</v>
      </c>
      <c r="C1155" t="s">
        <v>6596</v>
      </c>
      <c r="D1155" s="8" t="s">
        <v>6597</v>
      </c>
    </row>
    <row r="1156" spans="1:4" x14ac:dyDescent="0.35">
      <c r="A1156" t="s">
        <v>965</v>
      </c>
      <c r="B1156" s="8" t="s">
        <v>966</v>
      </c>
      <c r="C1156" t="s">
        <v>6512</v>
      </c>
      <c r="D1156" s="8" t="s">
        <v>6513</v>
      </c>
    </row>
    <row r="1157" spans="1:4" x14ac:dyDescent="0.35">
      <c r="A1157" t="s">
        <v>965</v>
      </c>
      <c r="B1157" s="8" t="s">
        <v>966</v>
      </c>
      <c r="C1157" t="s">
        <v>6514</v>
      </c>
      <c r="D1157" s="8" t="s">
        <v>6515</v>
      </c>
    </row>
    <row r="1158" spans="1:4" x14ac:dyDescent="0.35">
      <c r="A1158" t="s">
        <v>967</v>
      </c>
      <c r="B1158" s="8" t="s">
        <v>968</v>
      </c>
      <c r="C1158" t="s">
        <v>6594</v>
      </c>
      <c r="D1158" s="8" t="s">
        <v>6595</v>
      </c>
    </row>
    <row r="1159" spans="1:4" x14ac:dyDescent="0.35">
      <c r="A1159" t="s">
        <v>967</v>
      </c>
      <c r="B1159" s="8" t="s">
        <v>968</v>
      </c>
      <c r="C1159" t="s">
        <v>6500</v>
      </c>
      <c r="D1159" s="8" t="s">
        <v>6501</v>
      </c>
    </row>
    <row r="1160" spans="1:4" x14ac:dyDescent="0.35">
      <c r="A1160" t="s">
        <v>967</v>
      </c>
      <c r="B1160" s="8" t="s">
        <v>968</v>
      </c>
      <c r="C1160" t="s">
        <v>6514</v>
      </c>
      <c r="D1160" s="8" t="s">
        <v>6515</v>
      </c>
    </row>
    <row r="1161" spans="1:4" x14ac:dyDescent="0.35">
      <c r="A1161" t="s">
        <v>969</v>
      </c>
      <c r="B1161" s="8" t="s">
        <v>970</v>
      </c>
      <c r="C1161" t="s">
        <v>6500</v>
      </c>
      <c r="D1161" s="8" t="s">
        <v>6501</v>
      </c>
    </row>
    <row r="1162" spans="1:4" x14ac:dyDescent="0.35">
      <c r="A1162" t="s">
        <v>969</v>
      </c>
      <c r="B1162" s="8" t="s">
        <v>970</v>
      </c>
      <c r="C1162" t="s">
        <v>6576</v>
      </c>
      <c r="D1162" s="8" t="s">
        <v>6577</v>
      </c>
    </row>
    <row r="1163" spans="1:4" x14ac:dyDescent="0.35">
      <c r="A1163" t="s">
        <v>969</v>
      </c>
      <c r="B1163" s="8" t="s">
        <v>970</v>
      </c>
      <c r="C1163" t="s">
        <v>6512</v>
      </c>
      <c r="D1163" s="8" t="s">
        <v>6513</v>
      </c>
    </row>
    <row r="1164" spans="1:4" x14ac:dyDescent="0.35">
      <c r="A1164" t="s">
        <v>969</v>
      </c>
      <c r="B1164" s="8" t="s">
        <v>970</v>
      </c>
      <c r="C1164" t="s">
        <v>6514</v>
      </c>
      <c r="D1164" s="8" t="s">
        <v>6515</v>
      </c>
    </row>
    <row r="1165" spans="1:4" x14ac:dyDescent="0.35">
      <c r="A1165" t="s">
        <v>971</v>
      </c>
      <c r="B1165" s="8" t="s">
        <v>972</v>
      </c>
      <c r="C1165" t="s">
        <v>6500</v>
      </c>
      <c r="D1165" s="8" t="s">
        <v>6501</v>
      </c>
    </row>
    <row r="1166" spans="1:4" x14ac:dyDescent="0.35">
      <c r="A1166" t="s">
        <v>971</v>
      </c>
      <c r="B1166" s="8" t="s">
        <v>972</v>
      </c>
      <c r="C1166" t="s">
        <v>6512</v>
      </c>
      <c r="D1166" s="8" t="s">
        <v>6513</v>
      </c>
    </row>
    <row r="1167" spans="1:4" x14ac:dyDescent="0.35">
      <c r="A1167" t="s">
        <v>971</v>
      </c>
      <c r="B1167" s="8" t="s">
        <v>972</v>
      </c>
      <c r="C1167" t="s">
        <v>6514</v>
      </c>
      <c r="D1167" s="8" t="s">
        <v>6515</v>
      </c>
    </row>
    <row r="1168" spans="1:4" x14ac:dyDescent="0.35">
      <c r="A1168" t="s">
        <v>973</v>
      </c>
      <c r="B1168" s="8" t="s">
        <v>974</v>
      </c>
      <c r="C1168" t="s">
        <v>6598</v>
      </c>
      <c r="D1168" s="8" t="s">
        <v>6599</v>
      </c>
    </row>
    <row r="1169" spans="1:4" x14ac:dyDescent="0.35">
      <c r="A1169" t="s">
        <v>973</v>
      </c>
      <c r="B1169" s="8" t="s">
        <v>974</v>
      </c>
      <c r="C1169" t="s">
        <v>6500</v>
      </c>
      <c r="D1169" s="8" t="s">
        <v>6501</v>
      </c>
    </row>
    <row r="1170" spans="1:4" x14ac:dyDescent="0.35">
      <c r="A1170" t="s">
        <v>973</v>
      </c>
      <c r="B1170" s="8" t="s">
        <v>974</v>
      </c>
      <c r="C1170" t="s">
        <v>6512</v>
      </c>
      <c r="D1170" s="8" t="s">
        <v>6513</v>
      </c>
    </row>
    <row r="1171" spans="1:4" x14ac:dyDescent="0.35">
      <c r="A1171" t="s">
        <v>973</v>
      </c>
      <c r="B1171" s="8" t="s">
        <v>974</v>
      </c>
      <c r="C1171" t="s">
        <v>6514</v>
      </c>
      <c r="D1171" s="8" t="s">
        <v>6515</v>
      </c>
    </row>
    <row r="1172" spans="1:4" x14ac:dyDescent="0.35">
      <c r="A1172" t="s">
        <v>975</v>
      </c>
      <c r="B1172" s="8" t="s">
        <v>976</v>
      </c>
      <c r="C1172" t="s">
        <v>6576</v>
      </c>
      <c r="D1172" s="8" t="s">
        <v>6577</v>
      </c>
    </row>
    <row r="1173" spans="1:4" x14ac:dyDescent="0.35">
      <c r="A1173" t="s">
        <v>975</v>
      </c>
      <c r="B1173" s="8" t="s">
        <v>976</v>
      </c>
      <c r="C1173" t="s">
        <v>6512</v>
      </c>
      <c r="D1173" s="8" t="s">
        <v>6513</v>
      </c>
    </row>
    <row r="1174" spans="1:4" x14ac:dyDescent="0.35">
      <c r="A1174" t="s">
        <v>975</v>
      </c>
      <c r="B1174" s="8" t="s">
        <v>976</v>
      </c>
      <c r="C1174" t="s">
        <v>6514</v>
      </c>
      <c r="D1174" s="8" t="s">
        <v>6515</v>
      </c>
    </row>
    <row r="1175" spans="1:4" x14ac:dyDescent="0.35">
      <c r="A1175" t="s">
        <v>977</v>
      </c>
      <c r="B1175" s="8" t="s">
        <v>978</v>
      </c>
      <c r="C1175" t="s">
        <v>6533</v>
      </c>
      <c r="D1175" s="8" t="s">
        <v>6534</v>
      </c>
    </row>
    <row r="1176" spans="1:4" x14ac:dyDescent="0.35">
      <c r="A1176" t="s">
        <v>979</v>
      </c>
      <c r="B1176" s="8" t="s">
        <v>980</v>
      </c>
      <c r="C1176" t="s">
        <v>6600</v>
      </c>
      <c r="D1176" s="8" t="s">
        <v>6601</v>
      </c>
    </row>
    <row r="1177" spans="1:4" x14ac:dyDescent="0.35">
      <c r="A1177" t="s">
        <v>979</v>
      </c>
      <c r="B1177" s="8" t="s">
        <v>980</v>
      </c>
      <c r="C1177" t="s">
        <v>6514</v>
      </c>
      <c r="D1177" s="8" t="s">
        <v>6515</v>
      </c>
    </row>
    <row r="1178" spans="1:4" x14ac:dyDescent="0.35">
      <c r="A1178" t="s">
        <v>981</v>
      </c>
      <c r="B1178" s="8" t="s">
        <v>982</v>
      </c>
      <c r="C1178" t="s">
        <v>6590</v>
      </c>
      <c r="D1178" s="8" t="s">
        <v>6591</v>
      </c>
    </row>
    <row r="1179" spans="1:4" x14ac:dyDescent="0.35">
      <c r="A1179" t="s">
        <v>981</v>
      </c>
      <c r="B1179" s="8" t="s">
        <v>982</v>
      </c>
      <c r="C1179" t="s">
        <v>6500</v>
      </c>
      <c r="D1179" s="8" t="s">
        <v>6501</v>
      </c>
    </row>
    <row r="1180" spans="1:4" x14ac:dyDescent="0.35">
      <c r="A1180" t="s">
        <v>981</v>
      </c>
      <c r="B1180" s="8" t="s">
        <v>982</v>
      </c>
      <c r="C1180" t="s">
        <v>6512</v>
      </c>
      <c r="D1180" s="8" t="s">
        <v>6513</v>
      </c>
    </row>
    <row r="1181" spans="1:4" x14ac:dyDescent="0.35">
      <c r="A1181" t="s">
        <v>981</v>
      </c>
      <c r="B1181" s="8" t="s">
        <v>982</v>
      </c>
      <c r="C1181" t="s">
        <v>6514</v>
      </c>
      <c r="D1181" s="8" t="s">
        <v>6515</v>
      </c>
    </row>
    <row r="1182" spans="1:4" x14ac:dyDescent="0.35">
      <c r="A1182" t="s">
        <v>983</v>
      </c>
      <c r="B1182" s="8" t="s">
        <v>984</v>
      </c>
      <c r="C1182" t="s">
        <v>6500</v>
      </c>
      <c r="D1182" s="8" t="s">
        <v>6501</v>
      </c>
    </row>
    <row r="1183" spans="1:4" x14ac:dyDescent="0.35">
      <c r="A1183" t="s">
        <v>983</v>
      </c>
      <c r="B1183" s="8" t="s">
        <v>984</v>
      </c>
      <c r="C1183" t="s">
        <v>6510</v>
      </c>
      <c r="D1183" s="8" t="s">
        <v>6511</v>
      </c>
    </row>
    <row r="1184" spans="1:4" x14ac:dyDescent="0.35">
      <c r="A1184" t="s">
        <v>983</v>
      </c>
      <c r="B1184" s="8" t="s">
        <v>984</v>
      </c>
      <c r="C1184" t="s">
        <v>6512</v>
      </c>
      <c r="D1184" s="8" t="s">
        <v>6513</v>
      </c>
    </row>
    <row r="1185" spans="1:4" x14ac:dyDescent="0.35">
      <c r="A1185" t="s">
        <v>983</v>
      </c>
      <c r="B1185" s="8" t="s">
        <v>984</v>
      </c>
      <c r="C1185" t="s">
        <v>6514</v>
      </c>
      <c r="D1185" s="8" t="s">
        <v>6515</v>
      </c>
    </row>
    <row r="1186" spans="1:4" x14ac:dyDescent="0.35">
      <c r="A1186" t="s">
        <v>6602</v>
      </c>
      <c r="B1186" s="8" t="s">
        <v>985</v>
      </c>
      <c r="C1186" t="s">
        <v>6500</v>
      </c>
      <c r="D1186" s="8" t="s">
        <v>6501</v>
      </c>
    </row>
    <row r="1187" spans="1:4" x14ac:dyDescent="0.35">
      <c r="A1187" t="s">
        <v>6602</v>
      </c>
      <c r="B1187" s="8" t="s">
        <v>985</v>
      </c>
      <c r="C1187" t="s">
        <v>6510</v>
      </c>
      <c r="D1187" s="8" t="s">
        <v>6511</v>
      </c>
    </row>
    <row r="1188" spans="1:4" x14ac:dyDescent="0.35">
      <c r="A1188" t="s">
        <v>6602</v>
      </c>
      <c r="B1188" s="8" t="s">
        <v>985</v>
      </c>
      <c r="C1188" t="s">
        <v>6512</v>
      </c>
      <c r="D1188" s="8" t="s">
        <v>6513</v>
      </c>
    </row>
    <row r="1189" spans="1:4" x14ac:dyDescent="0.35">
      <c r="A1189" t="s">
        <v>6602</v>
      </c>
      <c r="B1189" s="8" t="s">
        <v>985</v>
      </c>
      <c r="C1189" t="s">
        <v>6514</v>
      </c>
      <c r="D1189" s="8" t="s">
        <v>6515</v>
      </c>
    </row>
    <row r="1190" spans="1:4" x14ac:dyDescent="0.35">
      <c r="A1190" t="s">
        <v>986</v>
      </c>
      <c r="B1190" s="8" t="s">
        <v>987</v>
      </c>
      <c r="C1190" t="s">
        <v>6500</v>
      </c>
      <c r="D1190" s="8" t="s">
        <v>6501</v>
      </c>
    </row>
    <row r="1191" spans="1:4" x14ac:dyDescent="0.35">
      <c r="A1191" t="s">
        <v>986</v>
      </c>
      <c r="B1191" s="8" t="s">
        <v>987</v>
      </c>
      <c r="C1191" t="s">
        <v>6518</v>
      </c>
      <c r="D1191" s="8" t="s">
        <v>6519</v>
      </c>
    </row>
    <row r="1192" spans="1:4" x14ac:dyDescent="0.35">
      <c r="A1192" t="s">
        <v>988</v>
      </c>
      <c r="B1192" s="8" t="s">
        <v>989</v>
      </c>
      <c r="C1192" t="s">
        <v>6506</v>
      </c>
      <c r="D1192" s="8" t="s">
        <v>6507</v>
      </c>
    </row>
    <row r="1193" spans="1:4" x14ac:dyDescent="0.35">
      <c r="A1193" t="s">
        <v>988</v>
      </c>
      <c r="B1193" s="8" t="s">
        <v>989</v>
      </c>
      <c r="C1193" t="s">
        <v>6508</v>
      </c>
      <c r="D1193" s="8" t="s">
        <v>6509</v>
      </c>
    </row>
    <row r="1194" spans="1:4" x14ac:dyDescent="0.35">
      <c r="A1194" t="s">
        <v>988</v>
      </c>
      <c r="B1194" s="8" t="s">
        <v>989</v>
      </c>
      <c r="C1194" t="s">
        <v>6510</v>
      </c>
      <c r="D1194" s="8" t="s">
        <v>6511</v>
      </c>
    </row>
    <row r="1195" spans="1:4" x14ac:dyDescent="0.35">
      <c r="A1195" t="s">
        <v>988</v>
      </c>
      <c r="B1195" s="8" t="s">
        <v>989</v>
      </c>
      <c r="C1195" t="s">
        <v>6512</v>
      </c>
      <c r="D1195" s="8" t="s">
        <v>6513</v>
      </c>
    </row>
    <row r="1196" spans="1:4" x14ac:dyDescent="0.35">
      <c r="A1196" t="s">
        <v>988</v>
      </c>
      <c r="B1196" s="8" t="s">
        <v>989</v>
      </c>
      <c r="C1196" t="s">
        <v>6514</v>
      </c>
      <c r="D1196" s="8" t="s">
        <v>6515</v>
      </c>
    </row>
    <row r="1197" spans="1:4" ht="29" x14ac:dyDescent="0.35">
      <c r="A1197" t="s">
        <v>988</v>
      </c>
      <c r="B1197" s="8" t="s">
        <v>989</v>
      </c>
      <c r="C1197" t="s">
        <v>6516</v>
      </c>
      <c r="D1197" s="8" t="s">
        <v>6517</v>
      </c>
    </row>
    <row r="1198" spans="1:4" x14ac:dyDescent="0.35">
      <c r="A1198" t="s">
        <v>990</v>
      </c>
      <c r="B1198" s="8" t="s">
        <v>991</v>
      </c>
      <c r="C1198" t="s">
        <v>6506</v>
      </c>
      <c r="D1198" s="8" t="s">
        <v>6507</v>
      </c>
    </row>
    <row r="1199" spans="1:4" x14ac:dyDescent="0.35">
      <c r="A1199" t="s">
        <v>990</v>
      </c>
      <c r="B1199" s="8" t="s">
        <v>991</v>
      </c>
      <c r="C1199" t="s">
        <v>6508</v>
      </c>
      <c r="D1199" s="8" t="s">
        <v>6509</v>
      </c>
    </row>
    <row r="1200" spans="1:4" x14ac:dyDescent="0.35">
      <c r="A1200" t="s">
        <v>990</v>
      </c>
      <c r="B1200" s="8" t="s">
        <v>991</v>
      </c>
      <c r="C1200" t="s">
        <v>6510</v>
      </c>
      <c r="D1200" s="8" t="s">
        <v>6511</v>
      </c>
    </row>
    <row r="1201" spans="1:4" x14ac:dyDescent="0.35">
      <c r="A1201" t="s">
        <v>990</v>
      </c>
      <c r="B1201" s="8" t="s">
        <v>991</v>
      </c>
      <c r="C1201" t="s">
        <v>6512</v>
      </c>
      <c r="D1201" s="8" t="s">
        <v>6513</v>
      </c>
    </row>
    <row r="1202" spans="1:4" x14ac:dyDescent="0.35">
      <c r="A1202" t="s">
        <v>990</v>
      </c>
      <c r="B1202" s="8" t="s">
        <v>991</v>
      </c>
      <c r="C1202" t="s">
        <v>6514</v>
      </c>
      <c r="D1202" s="8" t="s">
        <v>6515</v>
      </c>
    </row>
    <row r="1203" spans="1:4" ht="29" x14ac:dyDescent="0.35">
      <c r="A1203" t="s">
        <v>990</v>
      </c>
      <c r="B1203" s="8" t="s">
        <v>991</v>
      </c>
      <c r="C1203" t="s">
        <v>6516</v>
      </c>
      <c r="D1203" s="8" t="s">
        <v>6517</v>
      </c>
    </row>
    <row r="1204" spans="1:4" x14ac:dyDescent="0.35">
      <c r="A1204" t="s">
        <v>992</v>
      </c>
      <c r="B1204" s="8" t="s">
        <v>993</v>
      </c>
      <c r="C1204" t="s">
        <v>6506</v>
      </c>
      <c r="D1204" s="8" t="s">
        <v>6507</v>
      </c>
    </row>
    <row r="1205" spans="1:4" x14ac:dyDescent="0.35">
      <c r="A1205" t="s">
        <v>992</v>
      </c>
      <c r="B1205" s="8" t="s">
        <v>993</v>
      </c>
      <c r="C1205" t="s">
        <v>6508</v>
      </c>
      <c r="D1205" s="8" t="s">
        <v>6509</v>
      </c>
    </row>
    <row r="1206" spans="1:4" x14ac:dyDescent="0.35">
      <c r="A1206" t="s">
        <v>992</v>
      </c>
      <c r="B1206" s="8" t="s">
        <v>993</v>
      </c>
      <c r="C1206" t="s">
        <v>6510</v>
      </c>
      <c r="D1206" s="8" t="s">
        <v>6511</v>
      </c>
    </row>
    <row r="1207" spans="1:4" x14ac:dyDescent="0.35">
      <c r="A1207" t="s">
        <v>992</v>
      </c>
      <c r="B1207" s="8" t="s">
        <v>993</v>
      </c>
      <c r="C1207" t="s">
        <v>6512</v>
      </c>
      <c r="D1207" s="8" t="s">
        <v>6513</v>
      </c>
    </row>
    <row r="1208" spans="1:4" x14ac:dyDescent="0.35">
      <c r="A1208" t="s">
        <v>992</v>
      </c>
      <c r="B1208" s="8" t="s">
        <v>993</v>
      </c>
      <c r="C1208" t="s">
        <v>6514</v>
      </c>
      <c r="D1208" s="8" t="s">
        <v>6515</v>
      </c>
    </row>
    <row r="1209" spans="1:4" ht="29" x14ac:dyDescent="0.35">
      <c r="A1209" t="s">
        <v>992</v>
      </c>
      <c r="B1209" s="8" t="s">
        <v>993</v>
      </c>
      <c r="C1209" t="s">
        <v>6516</v>
      </c>
      <c r="D1209" s="8" t="s">
        <v>6517</v>
      </c>
    </row>
    <row r="1210" spans="1:4" ht="29" x14ac:dyDescent="0.35">
      <c r="A1210" t="s">
        <v>994</v>
      </c>
      <c r="B1210" s="8" t="s">
        <v>995</v>
      </c>
      <c r="C1210" t="s">
        <v>6502</v>
      </c>
      <c r="D1210" s="8" t="s">
        <v>6503</v>
      </c>
    </row>
    <row r="1211" spans="1:4" x14ac:dyDescent="0.35">
      <c r="A1211" t="s">
        <v>994</v>
      </c>
      <c r="B1211" s="8" t="s">
        <v>995</v>
      </c>
      <c r="C1211" t="s">
        <v>6504</v>
      </c>
      <c r="D1211" s="8" t="s">
        <v>6505</v>
      </c>
    </row>
    <row r="1212" spans="1:4" x14ac:dyDescent="0.35">
      <c r="A1212" t="s">
        <v>994</v>
      </c>
      <c r="B1212" s="8" t="s">
        <v>995</v>
      </c>
      <c r="C1212" t="s">
        <v>6603</v>
      </c>
      <c r="D1212" s="8" t="s">
        <v>6604</v>
      </c>
    </row>
    <row r="1213" spans="1:4" ht="29" x14ac:dyDescent="0.35">
      <c r="A1213" t="s">
        <v>996</v>
      </c>
      <c r="B1213" s="8" t="s">
        <v>997</v>
      </c>
      <c r="C1213" t="s">
        <v>6516</v>
      </c>
      <c r="D1213" s="8" t="s">
        <v>6517</v>
      </c>
    </row>
    <row r="1214" spans="1:4" x14ac:dyDescent="0.35">
      <c r="A1214" t="s">
        <v>996</v>
      </c>
      <c r="B1214" s="8" t="s">
        <v>997</v>
      </c>
      <c r="C1214" t="s">
        <v>6603</v>
      </c>
      <c r="D1214" s="8" t="s">
        <v>6604</v>
      </c>
    </row>
    <row r="1215" spans="1:4" ht="29" x14ac:dyDescent="0.35">
      <c r="A1215" t="s">
        <v>998</v>
      </c>
      <c r="B1215" s="8" t="s">
        <v>999</v>
      </c>
      <c r="C1215" t="s">
        <v>6502</v>
      </c>
      <c r="D1215" s="8" t="s">
        <v>6503</v>
      </c>
    </row>
    <row r="1216" spans="1:4" x14ac:dyDescent="0.35">
      <c r="A1216" t="s">
        <v>998</v>
      </c>
      <c r="B1216" s="8" t="s">
        <v>999</v>
      </c>
      <c r="C1216" t="s">
        <v>6504</v>
      </c>
      <c r="D1216" s="8" t="s">
        <v>6505</v>
      </c>
    </row>
    <row r="1217" spans="1:4" x14ac:dyDescent="0.35">
      <c r="A1217" t="s">
        <v>998</v>
      </c>
      <c r="B1217" s="8" t="s">
        <v>999</v>
      </c>
      <c r="C1217" t="s">
        <v>6605</v>
      </c>
      <c r="D1217" s="8" t="s">
        <v>6606</v>
      </c>
    </row>
    <row r="1218" spans="1:4" x14ac:dyDescent="0.35">
      <c r="A1218" t="s">
        <v>998</v>
      </c>
      <c r="B1218" s="8" t="s">
        <v>999</v>
      </c>
      <c r="C1218" t="s">
        <v>6603</v>
      </c>
      <c r="D1218" s="8" t="s">
        <v>6604</v>
      </c>
    </row>
    <row r="1219" spans="1:4" x14ac:dyDescent="0.35">
      <c r="A1219" t="s">
        <v>998</v>
      </c>
      <c r="B1219" s="8" t="s">
        <v>999</v>
      </c>
      <c r="C1219" t="s">
        <v>6539</v>
      </c>
      <c r="D1219" s="8" t="s">
        <v>6540</v>
      </c>
    </row>
    <row r="1220" spans="1:4" x14ac:dyDescent="0.35">
      <c r="A1220" t="s">
        <v>1000</v>
      </c>
      <c r="B1220" s="8" t="s">
        <v>1001</v>
      </c>
      <c r="C1220" t="s">
        <v>6500</v>
      </c>
      <c r="D1220" s="8" t="s">
        <v>6501</v>
      </c>
    </row>
    <row r="1221" spans="1:4" x14ac:dyDescent="0.35">
      <c r="A1221" t="s">
        <v>1000</v>
      </c>
      <c r="B1221" s="8" t="s">
        <v>1001</v>
      </c>
      <c r="C1221" t="s">
        <v>6518</v>
      </c>
      <c r="D1221" s="8" t="s">
        <v>6519</v>
      </c>
    </row>
    <row r="1222" spans="1:4" x14ac:dyDescent="0.35">
      <c r="A1222" t="s">
        <v>1002</v>
      </c>
      <c r="B1222" s="8" t="s">
        <v>1003</v>
      </c>
      <c r="C1222" t="s">
        <v>6276</v>
      </c>
      <c r="D1222" s="8" t="s">
        <v>6277</v>
      </c>
    </row>
    <row r="1223" spans="1:4" x14ac:dyDescent="0.35">
      <c r="A1223" t="s">
        <v>1002</v>
      </c>
      <c r="B1223" s="8" t="s">
        <v>1003</v>
      </c>
      <c r="C1223" t="s">
        <v>6607</v>
      </c>
      <c r="D1223" s="8" t="s">
        <v>6608</v>
      </c>
    </row>
    <row r="1224" spans="1:4" x14ac:dyDescent="0.35">
      <c r="A1224" t="s">
        <v>1002</v>
      </c>
      <c r="B1224" s="8" t="s">
        <v>1003</v>
      </c>
      <c r="C1224" t="s">
        <v>6609</v>
      </c>
      <c r="D1224" s="8" t="s">
        <v>6610</v>
      </c>
    </row>
    <row r="1225" spans="1:4" x14ac:dyDescent="0.35">
      <c r="A1225" t="s">
        <v>1004</v>
      </c>
      <c r="B1225" s="8" t="s">
        <v>1005</v>
      </c>
      <c r="C1225" t="s">
        <v>6163</v>
      </c>
      <c r="D1225" s="8" t="s">
        <v>6164</v>
      </c>
    </row>
    <row r="1226" spans="1:4" x14ac:dyDescent="0.35">
      <c r="A1226" t="s">
        <v>6611</v>
      </c>
      <c r="B1226" s="8" t="s">
        <v>1006</v>
      </c>
      <c r="C1226" t="s">
        <v>6607</v>
      </c>
      <c r="D1226" s="8" t="s">
        <v>6608</v>
      </c>
    </row>
    <row r="1227" spans="1:4" x14ac:dyDescent="0.35">
      <c r="A1227" t="s">
        <v>1007</v>
      </c>
      <c r="B1227" s="8" t="s">
        <v>1009</v>
      </c>
      <c r="C1227" t="s">
        <v>6276</v>
      </c>
      <c r="D1227" s="8" t="s">
        <v>6277</v>
      </c>
    </row>
    <row r="1228" spans="1:4" x14ac:dyDescent="0.35">
      <c r="A1228" t="s">
        <v>1007</v>
      </c>
      <c r="B1228" s="8" t="s">
        <v>1009</v>
      </c>
      <c r="C1228" t="s">
        <v>6612</v>
      </c>
      <c r="D1228" s="8" t="s">
        <v>6613</v>
      </c>
    </row>
    <row r="1229" spans="1:4" x14ac:dyDescent="0.35">
      <c r="A1229" t="s">
        <v>1007</v>
      </c>
      <c r="B1229" s="8" t="s">
        <v>1009</v>
      </c>
      <c r="C1229" t="s">
        <v>6609</v>
      </c>
      <c r="D1229" s="8" t="s">
        <v>6610</v>
      </c>
    </row>
    <row r="1230" spans="1:4" x14ac:dyDescent="0.35">
      <c r="A1230" t="s">
        <v>6614</v>
      </c>
      <c r="B1230" s="8" t="s">
        <v>1010</v>
      </c>
      <c r="C1230" t="s">
        <v>6276</v>
      </c>
      <c r="D1230" s="8" t="s">
        <v>6277</v>
      </c>
    </row>
    <row r="1231" spans="1:4" x14ac:dyDescent="0.35">
      <c r="A1231" t="s">
        <v>6614</v>
      </c>
      <c r="B1231" s="8" t="s">
        <v>1010</v>
      </c>
      <c r="C1231" t="s">
        <v>6612</v>
      </c>
      <c r="D1231" s="8" t="s">
        <v>6613</v>
      </c>
    </row>
    <row r="1232" spans="1:4" x14ac:dyDescent="0.35">
      <c r="A1232" t="s">
        <v>6614</v>
      </c>
      <c r="B1232" s="8" t="s">
        <v>1010</v>
      </c>
      <c r="C1232" t="s">
        <v>6615</v>
      </c>
      <c r="D1232" s="8" t="s">
        <v>6616</v>
      </c>
    </row>
    <row r="1233" spans="1:4" x14ac:dyDescent="0.35">
      <c r="A1233" t="s">
        <v>6614</v>
      </c>
      <c r="B1233" s="8" t="s">
        <v>1010</v>
      </c>
      <c r="C1233" t="s">
        <v>6609</v>
      </c>
      <c r="D1233" s="8" t="s">
        <v>6610</v>
      </c>
    </row>
    <row r="1234" spans="1:4" x14ac:dyDescent="0.35">
      <c r="A1234" t="s">
        <v>6617</v>
      </c>
      <c r="B1234" s="8" t="s">
        <v>1011</v>
      </c>
      <c r="C1234" t="s">
        <v>6276</v>
      </c>
      <c r="D1234" s="8" t="s">
        <v>6277</v>
      </c>
    </row>
    <row r="1235" spans="1:4" x14ac:dyDescent="0.35">
      <c r="A1235" t="s">
        <v>6617</v>
      </c>
      <c r="B1235" s="8" t="s">
        <v>1011</v>
      </c>
      <c r="C1235" t="s">
        <v>6612</v>
      </c>
      <c r="D1235" s="8" t="s">
        <v>6613</v>
      </c>
    </row>
    <row r="1236" spans="1:4" x14ac:dyDescent="0.35">
      <c r="A1236" t="s">
        <v>6617</v>
      </c>
      <c r="B1236" s="8" t="s">
        <v>1011</v>
      </c>
      <c r="C1236" t="s">
        <v>6609</v>
      </c>
      <c r="D1236" s="8" t="s">
        <v>6610</v>
      </c>
    </row>
    <row r="1237" spans="1:4" x14ac:dyDescent="0.35">
      <c r="A1237" t="s">
        <v>6617</v>
      </c>
      <c r="B1237" s="8" t="s">
        <v>1011</v>
      </c>
      <c r="C1237" t="s">
        <v>6618</v>
      </c>
      <c r="D1237" s="8" t="s">
        <v>6619</v>
      </c>
    </row>
    <row r="1238" spans="1:4" x14ac:dyDescent="0.35">
      <c r="A1238" t="s">
        <v>1012</v>
      </c>
      <c r="B1238" s="8" t="s">
        <v>1013</v>
      </c>
      <c r="C1238" t="s">
        <v>6276</v>
      </c>
      <c r="D1238" s="8" t="s">
        <v>6277</v>
      </c>
    </row>
    <row r="1239" spans="1:4" x14ac:dyDescent="0.35">
      <c r="A1239" t="s">
        <v>1012</v>
      </c>
      <c r="B1239" s="8" t="s">
        <v>1013</v>
      </c>
      <c r="C1239" t="s">
        <v>6620</v>
      </c>
      <c r="D1239" s="8" t="s">
        <v>6621</v>
      </c>
    </row>
    <row r="1240" spans="1:4" x14ac:dyDescent="0.35">
      <c r="A1240" t="s">
        <v>1012</v>
      </c>
      <c r="B1240" s="8" t="s">
        <v>1013</v>
      </c>
      <c r="C1240" t="s">
        <v>6609</v>
      </c>
      <c r="D1240" s="8" t="s">
        <v>6610</v>
      </c>
    </row>
    <row r="1241" spans="1:4" x14ac:dyDescent="0.35">
      <c r="A1241" t="s">
        <v>1014</v>
      </c>
      <c r="B1241" s="8" t="s">
        <v>1015</v>
      </c>
      <c r="C1241" t="s">
        <v>6276</v>
      </c>
      <c r="D1241" s="8" t="s">
        <v>6277</v>
      </c>
    </row>
    <row r="1242" spans="1:4" x14ac:dyDescent="0.35">
      <c r="A1242" t="s">
        <v>1014</v>
      </c>
      <c r="B1242" s="8" t="s">
        <v>1015</v>
      </c>
      <c r="C1242" t="s">
        <v>6607</v>
      </c>
      <c r="D1242" s="8" t="s">
        <v>6608</v>
      </c>
    </row>
    <row r="1243" spans="1:4" x14ac:dyDescent="0.35">
      <c r="A1243" t="s">
        <v>1014</v>
      </c>
      <c r="B1243" s="8" t="s">
        <v>1015</v>
      </c>
      <c r="C1243" t="s">
        <v>6280</v>
      </c>
      <c r="D1243" s="8" t="s">
        <v>6281</v>
      </c>
    </row>
    <row r="1244" spans="1:4" x14ac:dyDescent="0.35">
      <c r="A1244" t="s">
        <v>1014</v>
      </c>
      <c r="B1244" s="8" t="s">
        <v>1015</v>
      </c>
      <c r="C1244" t="s">
        <v>6609</v>
      </c>
      <c r="D1244" s="8" t="s">
        <v>6610</v>
      </c>
    </row>
    <row r="1245" spans="1:4" x14ac:dyDescent="0.35">
      <c r="A1245" t="s">
        <v>1016</v>
      </c>
      <c r="B1245" s="8" t="s">
        <v>1017</v>
      </c>
      <c r="C1245" t="s">
        <v>6276</v>
      </c>
      <c r="D1245" s="8" t="s">
        <v>6277</v>
      </c>
    </row>
    <row r="1246" spans="1:4" x14ac:dyDescent="0.35">
      <c r="A1246" t="s">
        <v>1016</v>
      </c>
      <c r="B1246" s="8" t="s">
        <v>1017</v>
      </c>
      <c r="C1246" t="s">
        <v>6622</v>
      </c>
      <c r="D1246" s="8" t="s">
        <v>6623</v>
      </c>
    </row>
    <row r="1247" spans="1:4" x14ac:dyDescent="0.35">
      <c r="A1247" t="s">
        <v>1016</v>
      </c>
      <c r="B1247" s="8" t="s">
        <v>1017</v>
      </c>
      <c r="C1247" t="s">
        <v>6609</v>
      </c>
      <c r="D1247" s="8" t="s">
        <v>6610</v>
      </c>
    </row>
    <row r="1248" spans="1:4" x14ac:dyDescent="0.35">
      <c r="A1248" t="s">
        <v>1018</v>
      </c>
      <c r="B1248" s="8" t="s">
        <v>1019</v>
      </c>
      <c r="C1248" t="s">
        <v>6276</v>
      </c>
      <c r="D1248" s="8" t="s">
        <v>6277</v>
      </c>
    </row>
    <row r="1249" spans="1:4" x14ac:dyDescent="0.35">
      <c r="A1249" t="s">
        <v>1018</v>
      </c>
      <c r="B1249" s="8" t="s">
        <v>1019</v>
      </c>
      <c r="C1249" t="s">
        <v>6624</v>
      </c>
      <c r="D1249" s="8" t="s">
        <v>6625</v>
      </c>
    </row>
    <row r="1250" spans="1:4" x14ac:dyDescent="0.35">
      <c r="A1250" t="s">
        <v>1018</v>
      </c>
      <c r="B1250" s="8" t="s">
        <v>1019</v>
      </c>
      <c r="C1250" t="s">
        <v>6626</v>
      </c>
      <c r="D1250" s="8" t="s">
        <v>6627</v>
      </c>
    </row>
    <row r="1251" spans="1:4" x14ac:dyDescent="0.35">
      <c r="A1251" t="s">
        <v>1018</v>
      </c>
      <c r="B1251" s="8" t="s">
        <v>1019</v>
      </c>
      <c r="C1251" t="s">
        <v>6609</v>
      </c>
      <c r="D1251" s="8" t="s">
        <v>6610</v>
      </c>
    </row>
    <row r="1252" spans="1:4" x14ac:dyDescent="0.35">
      <c r="A1252" t="s">
        <v>1020</v>
      </c>
      <c r="B1252" s="8" t="s">
        <v>1021</v>
      </c>
      <c r="C1252" t="s">
        <v>6276</v>
      </c>
      <c r="D1252" s="8" t="s">
        <v>6277</v>
      </c>
    </row>
    <row r="1253" spans="1:4" x14ac:dyDescent="0.35">
      <c r="A1253" t="s">
        <v>1020</v>
      </c>
      <c r="B1253" s="8" t="s">
        <v>1021</v>
      </c>
      <c r="C1253" t="s">
        <v>6624</v>
      </c>
      <c r="D1253" s="8" t="s">
        <v>6625</v>
      </c>
    </row>
    <row r="1254" spans="1:4" x14ac:dyDescent="0.35">
      <c r="A1254" t="s">
        <v>1020</v>
      </c>
      <c r="B1254" s="8" t="s">
        <v>1021</v>
      </c>
      <c r="C1254" t="s">
        <v>6609</v>
      </c>
      <c r="D1254" s="8" t="s">
        <v>6610</v>
      </c>
    </row>
    <row r="1255" spans="1:4" x14ac:dyDescent="0.35">
      <c r="A1255" t="s">
        <v>1022</v>
      </c>
      <c r="B1255" s="8" t="s">
        <v>1023</v>
      </c>
      <c r="C1255" t="s">
        <v>6276</v>
      </c>
      <c r="D1255" s="8" t="s">
        <v>6277</v>
      </c>
    </row>
    <row r="1256" spans="1:4" x14ac:dyDescent="0.35">
      <c r="A1256" t="s">
        <v>1022</v>
      </c>
      <c r="B1256" s="8" t="s">
        <v>1023</v>
      </c>
      <c r="C1256" t="s">
        <v>6622</v>
      </c>
      <c r="D1256" s="8" t="s">
        <v>6623</v>
      </c>
    </row>
    <row r="1257" spans="1:4" x14ac:dyDescent="0.35">
      <c r="A1257" t="s">
        <v>1022</v>
      </c>
      <c r="B1257" s="8" t="s">
        <v>1023</v>
      </c>
      <c r="C1257" t="s">
        <v>6624</v>
      </c>
      <c r="D1257" s="8" t="s">
        <v>6625</v>
      </c>
    </row>
    <row r="1258" spans="1:4" x14ac:dyDescent="0.35">
      <c r="A1258" t="s">
        <v>1022</v>
      </c>
      <c r="B1258" s="8" t="s">
        <v>1023</v>
      </c>
      <c r="C1258" t="s">
        <v>6607</v>
      </c>
      <c r="D1258" s="8" t="s">
        <v>6608</v>
      </c>
    </row>
    <row r="1259" spans="1:4" x14ac:dyDescent="0.35">
      <c r="A1259" t="s">
        <v>1022</v>
      </c>
      <c r="B1259" s="8" t="s">
        <v>1023</v>
      </c>
      <c r="C1259" t="s">
        <v>6609</v>
      </c>
      <c r="D1259" s="8" t="s">
        <v>6610</v>
      </c>
    </row>
    <row r="1260" spans="1:4" x14ac:dyDescent="0.35">
      <c r="A1260" t="s">
        <v>1024</v>
      </c>
      <c r="B1260" s="8" t="s">
        <v>1025</v>
      </c>
      <c r="C1260" t="s">
        <v>6276</v>
      </c>
      <c r="D1260" s="8" t="s">
        <v>6277</v>
      </c>
    </row>
    <row r="1261" spans="1:4" x14ac:dyDescent="0.35">
      <c r="A1261" t="s">
        <v>1024</v>
      </c>
      <c r="B1261" s="8" t="s">
        <v>1025</v>
      </c>
      <c r="C1261" t="s">
        <v>6624</v>
      </c>
      <c r="D1261" s="8" t="s">
        <v>6625</v>
      </c>
    </row>
    <row r="1262" spans="1:4" x14ac:dyDescent="0.35">
      <c r="A1262" t="s">
        <v>1024</v>
      </c>
      <c r="B1262" s="8" t="s">
        <v>1025</v>
      </c>
      <c r="C1262" t="s">
        <v>6609</v>
      </c>
      <c r="D1262" s="8" t="s">
        <v>6610</v>
      </c>
    </row>
    <row r="1263" spans="1:4" x14ac:dyDescent="0.35">
      <c r="A1263" t="s">
        <v>1026</v>
      </c>
      <c r="B1263" s="8" t="s">
        <v>1027</v>
      </c>
      <c r="C1263" t="s">
        <v>6276</v>
      </c>
      <c r="D1263" s="8" t="s">
        <v>6277</v>
      </c>
    </row>
    <row r="1264" spans="1:4" x14ac:dyDescent="0.35">
      <c r="A1264" t="s">
        <v>1026</v>
      </c>
      <c r="B1264" s="8" t="s">
        <v>1027</v>
      </c>
      <c r="C1264" t="s">
        <v>6628</v>
      </c>
      <c r="D1264" s="8" t="s">
        <v>6629</v>
      </c>
    </row>
    <row r="1265" spans="1:4" x14ac:dyDescent="0.35">
      <c r="A1265" t="s">
        <v>1026</v>
      </c>
      <c r="B1265" s="8" t="s">
        <v>1027</v>
      </c>
      <c r="C1265" t="s">
        <v>6609</v>
      </c>
      <c r="D1265" s="8" t="s">
        <v>6610</v>
      </c>
    </row>
    <row r="1266" spans="1:4" x14ac:dyDescent="0.35">
      <c r="A1266" t="s">
        <v>1028</v>
      </c>
      <c r="B1266" s="8" t="s">
        <v>1029</v>
      </c>
      <c r="C1266" t="s">
        <v>6276</v>
      </c>
      <c r="D1266" s="8" t="s">
        <v>6277</v>
      </c>
    </row>
    <row r="1267" spans="1:4" x14ac:dyDescent="0.35">
      <c r="A1267" t="s">
        <v>1028</v>
      </c>
      <c r="B1267" s="8" t="s">
        <v>1029</v>
      </c>
      <c r="C1267" t="s">
        <v>6628</v>
      </c>
      <c r="D1267" s="8" t="s">
        <v>6629</v>
      </c>
    </row>
    <row r="1268" spans="1:4" x14ac:dyDescent="0.35">
      <c r="A1268" t="s">
        <v>1028</v>
      </c>
      <c r="B1268" s="8" t="s">
        <v>1029</v>
      </c>
      <c r="C1268" t="s">
        <v>6630</v>
      </c>
      <c r="D1268" s="8" t="s">
        <v>6631</v>
      </c>
    </row>
    <row r="1269" spans="1:4" x14ac:dyDescent="0.35">
      <c r="A1269" t="s">
        <v>1028</v>
      </c>
      <c r="B1269" s="8" t="s">
        <v>1029</v>
      </c>
      <c r="C1269" t="s">
        <v>6632</v>
      </c>
      <c r="D1269" s="8" t="s">
        <v>6633</v>
      </c>
    </row>
    <row r="1270" spans="1:4" x14ac:dyDescent="0.35">
      <c r="A1270" t="s">
        <v>1028</v>
      </c>
      <c r="B1270" s="8" t="s">
        <v>1029</v>
      </c>
      <c r="C1270" t="s">
        <v>6634</v>
      </c>
      <c r="D1270" s="8" t="s">
        <v>6635</v>
      </c>
    </row>
    <row r="1271" spans="1:4" x14ac:dyDescent="0.35">
      <c r="A1271" t="s">
        <v>1028</v>
      </c>
      <c r="B1271" s="8" t="s">
        <v>1029</v>
      </c>
      <c r="C1271" t="s">
        <v>6607</v>
      </c>
      <c r="D1271" s="8" t="s">
        <v>6608</v>
      </c>
    </row>
    <row r="1272" spans="1:4" x14ac:dyDescent="0.35">
      <c r="A1272" t="s">
        <v>1028</v>
      </c>
      <c r="B1272" s="8" t="s">
        <v>1029</v>
      </c>
      <c r="C1272" t="s">
        <v>6609</v>
      </c>
      <c r="D1272" s="8" t="s">
        <v>6610</v>
      </c>
    </row>
    <row r="1273" spans="1:4" x14ac:dyDescent="0.35">
      <c r="A1273" t="s">
        <v>1030</v>
      </c>
      <c r="B1273" s="8" t="s">
        <v>1031</v>
      </c>
      <c r="C1273" t="s">
        <v>6276</v>
      </c>
      <c r="D1273" s="8" t="s">
        <v>6277</v>
      </c>
    </row>
    <row r="1274" spans="1:4" x14ac:dyDescent="0.35">
      <c r="A1274" t="s">
        <v>1030</v>
      </c>
      <c r="B1274" s="8" t="s">
        <v>1031</v>
      </c>
      <c r="C1274" t="s">
        <v>6628</v>
      </c>
      <c r="D1274" s="8" t="s">
        <v>6629</v>
      </c>
    </row>
    <row r="1275" spans="1:4" x14ac:dyDescent="0.35">
      <c r="A1275" t="s">
        <v>1030</v>
      </c>
      <c r="B1275" s="8" t="s">
        <v>1031</v>
      </c>
      <c r="C1275" t="s">
        <v>6609</v>
      </c>
      <c r="D1275" s="8" t="s">
        <v>6610</v>
      </c>
    </row>
    <row r="1276" spans="1:4" x14ac:dyDescent="0.35">
      <c r="A1276" t="s">
        <v>1032</v>
      </c>
      <c r="B1276" s="8" t="s">
        <v>1033</v>
      </c>
      <c r="C1276" t="s">
        <v>6276</v>
      </c>
      <c r="D1276" s="8" t="s">
        <v>6277</v>
      </c>
    </row>
    <row r="1277" spans="1:4" x14ac:dyDescent="0.35">
      <c r="A1277" t="s">
        <v>1032</v>
      </c>
      <c r="B1277" s="8" t="s">
        <v>1033</v>
      </c>
      <c r="C1277" t="s">
        <v>6628</v>
      </c>
      <c r="D1277" s="8" t="s">
        <v>6629</v>
      </c>
    </row>
    <row r="1278" spans="1:4" x14ac:dyDescent="0.35">
      <c r="A1278" t="s">
        <v>1032</v>
      </c>
      <c r="B1278" s="8" t="s">
        <v>1033</v>
      </c>
      <c r="C1278" t="s">
        <v>6609</v>
      </c>
      <c r="D1278" s="8" t="s">
        <v>6610</v>
      </c>
    </row>
    <row r="1279" spans="1:4" x14ac:dyDescent="0.35">
      <c r="A1279" t="s">
        <v>1034</v>
      </c>
      <c r="B1279" s="8" t="s">
        <v>1035</v>
      </c>
      <c r="C1279" t="s">
        <v>6276</v>
      </c>
      <c r="D1279" s="8" t="s">
        <v>6277</v>
      </c>
    </row>
    <row r="1280" spans="1:4" x14ac:dyDescent="0.35">
      <c r="A1280" t="s">
        <v>1034</v>
      </c>
      <c r="B1280" s="8" t="s">
        <v>1035</v>
      </c>
      <c r="C1280" t="s">
        <v>6628</v>
      </c>
      <c r="D1280" s="8" t="s">
        <v>6629</v>
      </c>
    </row>
    <row r="1281" spans="1:4" x14ac:dyDescent="0.35">
      <c r="A1281" t="s">
        <v>1034</v>
      </c>
      <c r="B1281" s="8" t="s">
        <v>1035</v>
      </c>
      <c r="C1281" t="s">
        <v>6630</v>
      </c>
      <c r="D1281" s="8" t="s">
        <v>6631</v>
      </c>
    </row>
    <row r="1282" spans="1:4" x14ac:dyDescent="0.35">
      <c r="A1282" t="s">
        <v>1034</v>
      </c>
      <c r="B1282" s="8" t="s">
        <v>1035</v>
      </c>
      <c r="C1282" t="s">
        <v>6607</v>
      </c>
      <c r="D1282" s="8" t="s">
        <v>6608</v>
      </c>
    </row>
    <row r="1283" spans="1:4" x14ac:dyDescent="0.35">
      <c r="A1283" t="s">
        <v>1034</v>
      </c>
      <c r="B1283" s="8" t="s">
        <v>1035</v>
      </c>
      <c r="C1283" t="s">
        <v>6609</v>
      </c>
      <c r="D1283" s="8" t="s">
        <v>6610</v>
      </c>
    </row>
    <row r="1284" spans="1:4" x14ac:dyDescent="0.35">
      <c r="A1284" t="s">
        <v>1036</v>
      </c>
      <c r="B1284" s="8" t="s">
        <v>1037</v>
      </c>
      <c r="C1284" t="s">
        <v>6276</v>
      </c>
      <c r="D1284" s="8" t="s">
        <v>6277</v>
      </c>
    </row>
    <row r="1285" spans="1:4" x14ac:dyDescent="0.35">
      <c r="A1285" t="s">
        <v>1036</v>
      </c>
      <c r="B1285" s="8" t="s">
        <v>1037</v>
      </c>
      <c r="C1285" t="s">
        <v>6628</v>
      </c>
      <c r="D1285" s="8" t="s">
        <v>6629</v>
      </c>
    </row>
    <row r="1286" spans="1:4" x14ac:dyDescent="0.35">
      <c r="A1286" t="s">
        <v>1036</v>
      </c>
      <c r="B1286" s="8" t="s">
        <v>1037</v>
      </c>
      <c r="C1286" t="s">
        <v>6609</v>
      </c>
      <c r="D1286" s="8" t="s">
        <v>6610</v>
      </c>
    </row>
    <row r="1287" spans="1:4" x14ac:dyDescent="0.35">
      <c r="A1287" t="s">
        <v>1038</v>
      </c>
      <c r="B1287" s="8" t="s">
        <v>1039</v>
      </c>
      <c r="C1287" t="s">
        <v>6276</v>
      </c>
      <c r="D1287" s="8" t="s">
        <v>6277</v>
      </c>
    </row>
    <row r="1288" spans="1:4" x14ac:dyDescent="0.35">
      <c r="A1288" t="s">
        <v>1038</v>
      </c>
      <c r="B1288" s="8" t="s">
        <v>1039</v>
      </c>
      <c r="C1288" t="s">
        <v>6400</v>
      </c>
      <c r="D1288" s="8" t="s">
        <v>6401</v>
      </c>
    </row>
    <row r="1289" spans="1:4" x14ac:dyDescent="0.35">
      <c r="A1289" t="s">
        <v>1038</v>
      </c>
      <c r="B1289" s="8" t="s">
        <v>1039</v>
      </c>
      <c r="C1289" t="s">
        <v>6404</v>
      </c>
      <c r="D1289" s="8" t="s">
        <v>6405</v>
      </c>
    </row>
    <row r="1290" spans="1:4" x14ac:dyDescent="0.35">
      <c r="A1290" t="s">
        <v>1038</v>
      </c>
      <c r="B1290" s="8" t="s">
        <v>1039</v>
      </c>
      <c r="C1290" t="s">
        <v>6414</v>
      </c>
      <c r="D1290" s="8" t="s">
        <v>6415</v>
      </c>
    </row>
    <row r="1291" spans="1:4" x14ac:dyDescent="0.35">
      <c r="A1291" t="s">
        <v>1038</v>
      </c>
      <c r="B1291" s="8" t="s">
        <v>1039</v>
      </c>
      <c r="C1291" t="s">
        <v>6408</v>
      </c>
      <c r="D1291" s="8" t="s">
        <v>6409</v>
      </c>
    </row>
    <row r="1292" spans="1:4" x14ac:dyDescent="0.35">
      <c r="A1292" t="s">
        <v>1038</v>
      </c>
      <c r="B1292" s="8" t="s">
        <v>1039</v>
      </c>
      <c r="C1292" t="s">
        <v>6636</v>
      </c>
      <c r="D1292" s="8" t="s">
        <v>6637</v>
      </c>
    </row>
    <row r="1293" spans="1:4" x14ac:dyDescent="0.35">
      <c r="A1293" t="s">
        <v>1038</v>
      </c>
      <c r="B1293" s="8" t="s">
        <v>1039</v>
      </c>
      <c r="C1293" t="s">
        <v>6609</v>
      </c>
      <c r="D1293" s="8" t="s">
        <v>6610</v>
      </c>
    </row>
    <row r="1294" spans="1:4" x14ac:dyDescent="0.35">
      <c r="A1294" t="s">
        <v>1040</v>
      </c>
      <c r="B1294" s="8" t="s">
        <v>1041</v>
      </c>
      <c r="C1294" t="s">
        <v>6276</v>
      </c>
      <c r="D1294" s="8" t="s">
        <v>6277</v>
      </c>
    </row>
    <row r="1295" spans="1:4" x14ac:dyDescent="0.35">
      <c r="A1295" t="s">
        <v>1040</v>
      </c>
      <c r="B1295" s="8" t="s">
        <v>1041</v>
      </c>
      <c r="C1295" t="s">
        <v>6636</v>
      </c>
      <c r="D1295" s="8" t="s">
        <v>6637</v>
      </c>
    </row>
    <row r="1296" spans="1:4" x14ac:dyDescent="0.35">
      <c r="A1296" t="s">
        <v>1040</v>
      </c>
      <c r="B1296" s="8" t="s">
        <v>1041</v>
      </c>
      <c r="C1296" t="s">
        <v>6609</v>
      </c>
      <c r="D1296" s="8" t="s">
        <v>6610</v>
      </c>
    </row>
    <row r="1297" spans="1:4" x14ac:dyDescent="0.35">
      <c r="A1297" t="s">
        <v>1042</v>
      </c>
      <c r="B1297" s="8" t="s">
        <v>1043</v>
      </c>
      <c r="C1297" t="s">
        <v>6276</v>
      </c>
      <c r="D1297" s="8" t="s">
        <v>6277</v>
      </c>
    </row>
    <row r="1298" spans="1:4" x14ac:dyDescent="0.35">
      <c r="A1298" t="s">
        <v>1042</v>
      </c>
      <c r="B1298" s="8" t="s">
        <v>1043</v>
      </c>
      <c r="C1298" t="s">
        <v>6404</v>
      </c>
      <c r="D1298" s="8" t="s">
        <v>6405</v>
      </c>
    </row>
    <row r="1299" spans="1:4" x14ac:dyDescent="0.35">
      <c r="A1299" t="s">
        <v>1042</v>
      </c>
      <c r="B1299" s="8" t="s">
        <v>1043</v>
      </c>
      <c r="C1299" t="s">
        <v>6414</v>
      </c>
      <c r="D1299" s="8" t="s">
        <v>6415</v>
      </c>
    </row>
    <row r="1300" spans="1:4" x14ac:dyDescent="0.35">
      <c r="A1300" t="s">
        <v>1042</v>
      </c>
      <c r="B1300" s="8" t="s">
        <v>1043</v>
      </c>
      <c r="C1300" t="s">
        <v>6408</v>
      </c>
      <c r="D1300" s="8" t="s">
        <v>6409</v>
      </c>
    </row>
    <row r="1301" spans="1:4" x14ac:dyDescent="0.35">
      <c r="A1301" t="s">
        <v>1042</v>
      </c>
      <c r="B1301" s="8" t="s">
        <v>1043</v>
      </c>
      <c r="C1301" t="s">
        <v>6609</v>
      </c>
      <c r="D1301" s="8" t="s">
        <v>6610</v>
      </c>
    </row>
    <row r="1302" spans="1:4" x14ac:dyDescent="0.35">
      <c r="A1302" t="s">
        <v>1044</v>
      </c>
      <c r="B1302" s="8" t="s">
        <v>1045</v>
      </c>
      <c r="C1302" t="s">
        <v>6276</v>
      </c>
      <c r="D1302" s="8" t="s">
        <v>6277</v>
      </c>
    </row>
    <row r="1303" spans="1:4" x14ac:dyDescent="0.35">
      <c r="A1303" t="s">
        <v>1044</v>
      </c>
      <c r="B1303" s="8" t="s">
        <v>1045</v>
      </c>
      <c r="C1303" t="s">
        <v>6400</v>
      </c>
      <c r="D1303" s="8" t="s">
        <v>6401</v>
      </c>
    </row>
    <row r="1304" spans="1:4" x14ac:dyDescent="0.35">
      <c r="A1304" t="s">
        <v>1044</v>
      </c>
      <c r="B1304" s="8" t="s">
        <v>1045</v>
      </c>
      <c r="C1304" t="s">
        <v>6609</v>
      </c>
      <c r="D1304" s="8" t="s">
        <v>6610</v>
      </c>
    </row>
    <row r="1305" spans="1:4" x14ac:dyDescent="0.35">
      <c r="A1305" t="s">
        <v>1046</v>
      </c>
      <c r="B1305" s="8" t="s">
        <v>1048</v>
      </c>
      <c r="C1305" t="s">
        <v>6276</v>
      </c>
      <c r="D1305" s="8" t="s">
        <v>6277</v>
      </c>
    </row>
    <row r="1306" spans="1:4" x14ac:dyDescent="0.35">
      <c r="A1306" t="s">
        <v>1046</v>
      </c>
      <c r="B1306" s="8" t="s">
        <v>1048</v>
      </c>
      <c r="C1306" t="s">
        <v>6612</v>
      </c>
      <c r="D1306" s="8" t="s">
        <v>6613</v>
      </c>
    </row>
    <row r="1307" spans="1:4" x14ac:dyDescent="0.35">
      <c r="A1307" t="s">
        <v>1046</v>
      </c>
      <c r="B1307" s="8" t="s">
        <v>1048</v>
      </c>
      <c r="C1307" t="s">
        <v>6636</v>
      </c>
      <c r="D1307" s="8" t="s">
        <v>6637</v>
      </c>
    </row>
    <row r="1308" spans="1:4" x14ac:dyDescent="0.35">
      <c r="A1308" t="s">
        <v>1046</v>
      </c>
      <c r="B1308" s="8" t="s">
        <v>1048</v>
      </c>
      <c r="C1308" t="s">
        <v>6638</v>
      </c>
      <c r="D1308" s="8" t="s">
        <v>6639</v>
      </c>
    </row>
    <row r="1309" spans="1:4" x14ac:dyDescent="0.35">
      <c r="A1309" t="s">
        <v>1046</v>
      </c>
      <c r="B1309" s="8" t="s">
        <v>1048</v>
      </c>
      <c r="C1309" t="s">
        <v>6640</v>
      </c>
      <c r="D1309" s="8" t="s">
        <v>6641</v>
      </c>
    </row>
    <row r="1310" spans="1:4" x14ac:dyDescent="0.35">
      <c r="A1310" t="s">
        <v>1046</v>
      </c>
      <c r="B1310" s="8" t="s">
        <v>1048</v>
      </c>
      <c r="C1310" t="s">
        <v>6609</v>
      </c>
      <c r="D1310" s="8" t="s">
        <v>6610</v>
      </c>
    </row>
    <row r="1311" spans="1:4" x14ac:dyDescent="0.35">
      <c r="A1311" t="s">
        <v>1049</v>
      </c>
      <c r="B1311" s="8" t="s">
        <v>1050</v>
      </c>
      <c r="C1311" t="s">
        <v>6276</v>
      </c>
      <c r="D1311" s="8" t="s">
        <v>6277</v>
      </c>
    </row>
    <row r="1312" spans="1:4" x14ac:dyDescent="0.35">
      <c r="A1312" t="s">
        <v>1049</v>
      </c>
      <c r="B1312" s="8" t="s">
        <v>1050</v>
      </c>
      <c r="C1312" t="s">
        <v>6607</v>
      </c>
      <c r="D1312" s="8" t="s">
        <v>6608</v>
      </c>
    </row>
    <row r="1313" spans="1:4" x14ac:dyDescent="0.35">
      <c r="A1313" t="s">
        <v>1049</v>
      </c>
      <c r="B1313" s="8" t="s">
        <v>1050</v>
      </c>
      <c r="C1313" t="s">
        <v>6609</v>
      </c>
      <c r="D1313" s="8" t="s">
        <v>6610</v>
      </c>
    </row>
    <row r="1314" spans="1:4" x14ac:dyDescent="0.35">
      <c r="A1314" t="s">
        <v>1051</v>
      </c>
      <c r="B1314" s="8" t="s">
        <v>1052</v>
      </c>
      <c r="C1314" t="s">
        <v>6276</v>
      </c>
      <c r="D1314" s="8" t="s">
        <v>6277</v>
      </c>
    </row>
    <row r="1315" spans="1:4" x14ac:dyDescent="0.35">
      <c r="A1315" t="s">
        <v>1051</v>
      </c>
      <c r="B1315" s="8" t="s">
        <v>1052</v>
      </c>
      <c r="C1315" t="s">
        <v>6640</v>
      </c>
      <c r="D1315" s="8" t="s">
        <v>6641</v>
      </c>
    </row>
    <row r="1316" spans="1:4" x14ac:dyDescent="0.35">
      <c r="A1316" t="s">
        <v>1051</v>
      </c>
      <c r="B1316" s="8" t="s">
        <v>1052</v>
      </c>
      <c r="C1316" t="s">
        <v>6607</v>
      </c>
      <c r="D1316" s="8" t="s">
        <v>6608</v>
      </c>
    </row>
    <row r="1317" spans="1:4" x14ac:dyDescent="0.35">
      <c r="A1317" t="s">
        <v>1051</v>
      </c>
      <c r="B1317" s="8" t="s">
        <v>1052</v>
      </c>
      <c r="C1317" t="s">
        <v>6609</v>
      </c>
      <c r="D1317" s="8" t="s">
        <v>6610</v>
      </c>
    </row>
    <row r="1318" spans="1:4" x14ac:dyDescent="0.35">
      <c r="A1318" t="s">
        <v>1053</v>
      </c>
      <c r="B1318" s="8" t="s">
        <v>1055</v>
      </c>
      <c r="C1318" t="s">
        <v>6276</v>
      </c>
      <c r="D1318" s="8" t="s">
        <v>6277</v>
      </c>
    </row>
    <row r="1319" spans="1:4" x14ac:dyDescent="0.35">
      <c r="A1319" t="s">
        <v>1053</v>
      </c>
      <c r="B1319" s="8" t="s">
        <v>1055</v>
      </c>
      <c r="C1319" t="s">
        <v>6638</v>
      </c>
      <c r="D1319" s="8" t="s">
        <v>6639</v>
      </c>
    </row>
    <row r="1320" spans="1:4" x14ac:dyDescent="0.35">
      <c r="A1320" t="s">
        <v>1053</v>
      </c>
      <c r="B1320" s="8" t="s">
        <v>1055</v>
      </c>
      <c r="C1320" t="s">
        <v>6640</v>
      </c>
      <c r="D1320" s="8" t="s">
        <v>6641</v>
      </c>
    </row>
    <row r="1321" spans="1:4" x14ac:dyDescent="0.35">
      <c r="A1321" t="s">
        <v>1053</v>
      </c>
      <c r="B1321" s="8" t="s">
        <v>1055</v>
      </c>
      <c r="C1321" t="s">
        <v>6609</v>
      </c>
      <c r="D1321" s="8" t="s">
        <v>6610</v>
      </c>
    </row>
    <row r="1322" spans="1:4" x14ac:dyDescent="0.35">
      <c r="A1322" t="s">
        <v>1056</v>
      </c>
      <c r="B1322" s="8" t="s">
        <v>1057</v>
      </c>
      <c r="C1322" t="s">
        <v>6276</v>
      </c>
      <c r="D1322" s="8" t="s">
        <v>6277</v>
      </c>
    </row>
    <row r="1323" spans="1:4" x14ac:dyDescent="0.35">
      <c r="A1323" t="s">
        <v>1056</v>
      </c>
      <c r="B1323" s="8" t="s">
        <v>1057</v>
      </c>
      <c r="C1323" t="s">
        <v>6642</v>
      </c>
      <c r="D1323" s="8" t="s">
        <v>6643</v>
      </c>
    </row>
    <row r="1324" spans="1:4" x14ac:dyDescent="0.35">
      <c r="A1324" t="s">
        <v>1056</v>
      </c>
      <c r="B1324" s="8" t="s">
        <v>1057</v>
      </c>
      <c r="C1324" t="s">
        <v>6607</v>
      </c>
      <c r="D1324" s="8" t="s">
        <v>6608</v>
      </c>
    </row>
    <row r="1325" spans="1:4" x14ac:dyDescent="0.35">
      <c r="A1325" t="s">
        <v>1056</v>
      </c>
      <c r="B1325" s="8" t="s">
        <v>1057</v>
      </c>
      <c r="C1325" t="s">
        <v>6609</v>
      </c>
      <c r="D1325" s="8" t="s">
        <v>6610</v>
      </c>
    </row>
    <row r="1326" spans="1:4" x14ac:dyDescent="0.35">
      <c r="A1326" t="s">
        <v>1058</v>
      </c>
      <c r="B1326" s="8" t="s">
        <v>1059</v>
      </c>
      <c r="C1326" t="s">
        <v>6276</v>
      </c>
      <c r="D1326" s="8" t="s">
        <v>6277</v>
      </c>
    </row>
    <row r="1327" spans="1:4" x14ac:dyDescent="0.35">
      <c r="A1327" t="s">
        <v>1058</v>
      </c>
      <c r="B1327" s="8" t="s">
        <v>1059</v>
      </c>
      <c r="C1327" t="s">
        <v>6644</v>
      </c>
      <c r="D1327" s="8" t="s">
        <v>6645</v>
      </c>
    </row>
    <row r="1328" spans="1:4" x14ac:dyDescent="0.35">
      <c r="A1328" t="s">
        <v>1058</v>
      </c>
      <c r="B1328" s="8" t="s">
        <v>1059</v>
      </c>
      <c r="C1328" t="s">
        <v>6607</v>
      </c>
      <c r="D1328" s="8" t="s">
        <v>6608</v>
      </c>
    </row>
    <row r="1329" spans="1:4" x14ac:dyDescent="0.35">
      <c r="A1329" t="s">
        <v>1058</v>
      </c>
      <c r="B1329" s="8" t="s">
        <v>1059</v>
      </c>
      <c r="C1329" t="s">
        <v>6646</v>
      </c>
      <c r="D1329" s="8" t="s">
        <v>6647</v>
      </c>
    </row>
    <row r="1330" spans="1:4" x14ac:dyDescent="0.35">
      <c r="A1330" t="s">
        <v>1058</v>
      </c>
      <c r="B1330" s="8" t="s">
        <v>1059</v>
      </c>
      <c r="C1330" t="s">
        <v>6609</v>
      </c>
      <c r="D1330" s="8" t="s">
        <v>6610</v>
      </c>
    </row>
    <row r="1331" spans="1:4" x14ac:dyDescent="0.35">
      <c r="A1331" t="s">
        <v>1060</v>
      </c>
      <c r="B1331" s="8" t="s">
        <v>1061</v>
      </c>
      <c r="C1331" t="s">
        <v>6276</v>
      </c>
      <c r="D1331" s="8" t="s">
        <v>6277</v>
      </c>
    </row>
    <row r="1332" spans="1:4" x14ac:dyDescent="0.35">
      <c r="A1332" t="s">
        <v>1060</v>
      </c>
      <c r="B1332" s="8" t="s">
        <v>1061</v>
      </c>
      <c r="C1332" t="s">
        <v>6607</v>
      </c>
      <c r="D1332" s="8" t="s">
        <v>6608</v>
      </c>
    </row>
    <row r="1333" spans="1:4" x14ac:dyDescent="0.35">
      <c r="A1333" t="s">
        <v>1060</v>
      </c>
      <c r="B1333" s="8" t="s">
        <v>1061</v>
      </c>
      <c r="C1333" t="s">
        <v>6609</v>
      </c>
      <c r="D1333" s="8" t="s">
        <v>6610</v>
      </c>
    </row>
    <row r="1334" spans="1:4" x14ac:dyDescent="0.35">
      <c r="A1334" t="s">
        <v>1062</v>
      </c>
      <c r="B1334" s="8" t="s">
        <v>1063</v>
      </c>
      <c r="C1334" t="s">
        <v>6276</v>
      </c>
      <c r="D1334" s="8" t="s">
        <v>6277</v>
      </c>
    </row>
    <row r="1335" spans="1:4" x14ac:dyDescent="0.35">
      <c r="A1335" t="s">
        <v>1062</v>
      </c>
      <c r="B1335" s="8" t="s">
        <v>1063</v>
      </c>
      <c r="C1335" t="s">
        <v>6630</v>
      </c>
      <c r="D1335" s="8" t="s">
        <v>6631</v>
      </c>
    </row>
    <row r="1336" spans="1:4" x14ac:dyDescent="0.35">
      <c r="A1336" t="s">
        <v>1062</v>
      </c>
      <c r="B1336" s="8" t="s">
        <v>1063</v>
      </c>
      <c r="C1336" t="s">
        <v>6648</v>
      </c>
      <c r="D1336" s="8" t="s">
        <v>6649</v>
      </c>
    </row>
    <row r="1337" spans="1:4" x14ac:dyDescent="0.35">
      <c r="A1337" t="s">
        <v>1062</v>
      </c>
      <c r="B1337" s="8" t="s">
        <v>1063</v>
      </c>
      <c r="C1337" t="s">
        <v>6609</v>
      </c>
      <c r="D1337" s="8" t="s">
        <v>6610</v>
      </c>
    </row>
    <row r="1338" spans="1:4" x14ac:dyDescent="0.35">
      <c r="A1338" t="s">
        <v>1064</v>
      </c>
      <c r="B1338" s="8" t="s">
        <v>1065</v>
      </c>
      <c r="C1338" t="s">
        <v>6276</v>
      </c>
      <c r="D1338" s="8" t="s">
        <v>6277</v>
      </c>
    </row>
    <row r="1339" spans="1:4" x14ac:dyDescent="0.35">
      <c r="A1339" t="s">
        <v>1064</v>
      </c>
      <c r="B1339" s="8" t="s">
        <v>1065</v>
      </c>
      <c r="C1339" t="s">
        <v>6650</v>
      </c>
      <c r="D1339" s="8" t="s">
        <v>6651</v>
      </c>
    </row>
    <row r="1340" spans="1:4" x14ac:dyDescent="0.35">
      <c r="A1340" t="s">
        <v>1064</v>
      </c>
      <c r="B1340" s="8" t="s">
        <v>1065</v>
      </c>
      <c r="C1340" t="s">
        <v>6626</v>
      </c>
      <c r="D1340" s="8" t="s">
        <v>6627</v>
      </c>
    </row>
    <row r="1341" spans="1:4" x14ac:dyDescent="0.35">
      <c r="A1341" t="s">
        <v>1064</v>
      </c>
      <c r="B1341" s="8" t="s">
        <v>1065</v>
      </c>
      <c r="C1341" t="s">
        <v>6609</v>
      </c>
      <c r="D1341" s="8" t="s">
        <v>6610</v>
      </c>
    </row>
    <row r="1342" spans="1:4" x14ac:dyDescent="0.35">
      <c r="A1342" t="s">
        <v>1066</v>
      </c>
      <c r="B1342" s="8" t="s">
        <v>1067</v>
      </c>
      <c r="C1342" t="s">
        <v>6276</v>
      </c>
      <c r="D1342" s="8" t="s">
        <v>6277</v>
      </c>
    </row>
    <row r="1343" spans="1:4" x14ac:dyDescent="0.35">
      <c r="A1343" t="s">
        <v>1066</v>
      </c>
      <c r="B1343" s="8" t="s">
        <v>1067</v>
      </c>
      <c r="C1343" t="s">
        <v>6650</v>
      </c>
      <c r="D1343" s="8" t="s">
        <v>6651</v>
      </c>
    </row>
    <row r="1344" spans="1:4" x14ac:dyDescent="0.35">
      <c r="A1344" t="s">
        <v>1066</v>
      </c>
      <c r="B1344" s="8" t="s">
        <v>1067</v>
      </c>
      <c r="C1344" t="s">
        <v>6612</v>
      </c>
      <c r="D1344" s="8" t="s">
        <v>6613</v>
      </c>
    </row>
    <row r="1345" spans="1:4" x14ac:dyDescent="0.35">
      <c r="A1345" t="s">
        <v>1066</v>
      </c>
      <c r="B1345" s="8" t="s">
        <v>1067</v>
      </c>
      <c r="C1345" t="s">
        <v>6642</v>
      </c>
      <c r="D1345" s="8" t="s">
        <v>6643</v>
      </c>
    </row>
    <row r="1346" spans="1:4" x14ac:dyDescent="0.35">
      <c r="A1346" t="s">
        <v>1066</v>
      </c>
      <c r="B1346" s="8" t="s">
        <v>1067</v>
      </c>
      <c r="C1346" t="s">
        <v>6609</v>
      </c>
      <c r="D1346" s="8" t="s">
        <v>6610</v>
      </c>
    </row>
    <row r="1347" spans="1:4" x14ac:dyDescent="0.35">
      <c r="A1347" t="s">
        <v>1068</v>
      </c>
      <c r="B1347" s="8" t="s">
        <v>1069</v>
      </c>
      <c r="C1347" t="s">
        <v>6276</v>
      </c>
      <c r="D1347" s="8" t="s">
        <v>6277</v>
      </c>
    </row>
    <row r="1348" spans="1:4" x14ac:dyDescent="0.35">
      <c r="A1348" t="s">
        <v>1068</v>
      </c>
      <c r="B1348" s="8" t="s">
        <v>1069</v>
      </c>
      <c r="C1348" t="s">
        <v>6626</v>
      </c>
      <c r="D1348" s="8" t="s">
        <v>6627</v>
      </c>
    </row>
    <row r="1349" spans="1:4" x14ac:dyDescent="0.35">
      <c r="A1349" t="s">
        <v>1068</v>
      </c>
      <c r="B1349" s="8" t="s">
        <v>1069</v>
      </c>
      <c r="C1349" t="s">
        <v>6609</v>
      </c>
      <c r="D1349" s="8" t="s">
        <v>6610</v>
      </c>
    </row>
    <row r="1350" spans="1:4" x14ac:dyDescent="0.35">
      <c r="A1350" t="s">
        <v>1070</v>
      </c>
      <c r="B1350" s="8" t="s">
        <v>1071</v>
      </c>
      <c r="C1350" t="s">
        <v>6276</v>
      </c>
      <c r="D1350" s="8" t="s">
        <v>6277</v>
      </c>
    </row>
    <row r="1351" spans="1:4" x14ac:dyDescent="0.35">
      <c r="A1351" t="s">
        <v>1070</v>
      </c>
      <c r="B1351" s="8" t="s">
        <v>1071</v>
      </c>
      <c r="C1351" t="s">
        <v>6632</v>
      </c>
      <c r="D1351" s="8" t="s">
        <v>6633</v>
      </c>
    </row>
    <row r="1352" spans="1:4" x14ac:dyDescent="0.35">
      <c r="A1352" t="s">
        <v>1070</v>
      </c>
      <c r="B1352" s="8" t="s">
        <v>1071</v>
      </c>
      <c r="C1352" t="s">
        <v>6609</v>
      </c>
      <c r="D1352" s="8" t="s">
        <v>6610</v>
      </c>
    </row>
    <row r="1353" spans="1:4" x14ac:dyDescent="0.35">
      <c r="A1353" t="s">
        <v>1072</v>
      </c>
      <c r="B1353" s="8" t="s">
        <v>1073</v>
      </c>
      <c r="C1353" t="s">
        <v>6276</v>
      </c>
      <c r="D1353" s="8" t="s">
        <v>6277</v>
      </c>
    </row>
    <row r="1354" spans="1:4" x14ac:dyDescent="0.35">
      <c r="A1354" t="s">
        <v>1072</v>
      </c>
      <c r="B1354" s="8" t="s">
        <v>1073</v>
      </c>
      <c r="C1354" t="s">
        <v>6652</v>
      </c>
      <c r="D1354" s="8" t="s">
        <v>6653</v>
      </c>
    </row>
    <row r="1355" spans="1:4" x14ac:dyDescent="0.35">
      <c r="A1355" t="s">
        <v>1072</v>
      </c>
      <c r="B1355" s="8" t="s">
        <v>1073</v>
      </c>
      <c r="C1355" t="s">
        <v>6609</v>
      </c>
      <c r="D1355" s="8" t="s">
        <v>6610</v>
      </c>
    </row>
    <row r="1356" spans="1:4" x14ac:dyDescent="0.35">
      <c r="A1356" t="s">
        <v>1074</v>
      </c>
      <c r="B1356" s="8" t="s">
        <v>1075</v>
      </c>
      <c r="C1356" t="s">
        <v>6276</v>
      </c>
      <c r="D1356" s="8" t="s">
        <v>6277</v>
      </c>
    </row>
    <row r="1357" spans="1:4" x14ac:dyDescent="0.35">
      <c r="A1357" t="s">
        <v>1074</v>
      </c>
      <c r="B1357" s="8" t="s">
        <v>1075</v>
      </c>
      <c r="C1357" t="s">
        <v>6654</v>
      </c>
      <c r="D1357" s="8" t="s">
        <v>6655</v>
      </c>
    </row>
    <row r="1358" spans="1:4" x14ac:dyDescent="0.35">
      <c r="A1358" t="s">
        <v>1074</v>
      </c>
      <c r="B1358" s="8" t="s">
        <v>1075</v>
      </c>
      <c r="C1358" t="s">
        <v>6609</v>
      </c>
      <c r="D1358" s="8" t="s">
        <v>6610</v>
      </c>
    </row>
    <row r="1359" spans="1:4" x14ac:dyDescent="0.35">
      <c r="A1359" t="s">
        <v>1076</v>
      </c>
      <c r="B1359" s="8" t="s">
        <v>1077</v>
      </c>
      <c r="C1359" t="s">
        <v>6276</v>
      </c>
      <c r="D1359" s="8" t="s">
        <v>6277</v>
      </c>
    </row>
    <row r="1360" spans="1:4" x14ac:dyDescent="0.35">
      <c r="A1360" t="s">
        <v>1076</v>
      </c>
      <c r="B1360" s="8" t="s">
        <v>1077</v>
      </c>
      <c r="C1360" t="s">
        <v>6607</v>
      </c>
      <c r="D1360" s="8" t="s">
        <v>6608</v>
      </c>
    </row>
    <row r="1361" spans="1:4" x14ac:dyDescent="0.35">
      <c r="A1361" t="s">
        <v>1076</v>
      </c>
      <c r="B1361" s="8" t="s">
        <v>1077</v>
      </c>
      <c r="C1361" t="s">
        <v>6609</v>
      </c>
      <c r="D1361" s="8" t="s">
        <v>6610</v>
      </c>
    </row>
    <row r="1362" spans="1:4" x14ac:dyDescent="0.35">
      <c r="A1362" t="s">
        <v>1078</v>
      </c>
      <c r="B1362" s="8" t="s">
        <v>1079</v>
      </c>
      <c r="C1362" t="s">
        <v>6276</v>
      </c>
      <c r="D1362" s="8" t="s">
        <v>6277</v>
      </c>
    </row>
    <row r="1363" spans="1:4" x14ac:dyDescent="0.35">
      <c r="A1363" t="s">
        <v>1078</v>
      </c>
      <c r="B1363" s="8" t="s">
        <v>1079</v>
      </c>
      <c r="C1363" t="s">
        <v>6634</v>
      </c>
      <c r="D1363" s="8" t="s">
        <v>6635</v>
      </c>
    </row>
    <row r="1364" spans="1:4" x14ac:dyDescent="0.35">
      <c r="A1364" t="s">
        <v>1078</v>
      </c>
      <c r="B1364" s="8" t="s">
        <v>1079</v>
      </c>
      <c r="C1364" t="s">
        <v>6609</v>
      </c>
      <c r="D1364" s="8" t="s">
        <v>6610</v>
      </c>
    </row>
    <row r="1365" spans="1:4" x14ac:dyDescent="0.35">
      <c r="A1365" t="s">
        <v>1080</v>
      </c>
      <c r="B1365" s="8" t="s">
        <v>1081</v>
      </c>
      <c r="C1365" t="s">
        <v>6276</v>
      </c>
      <c r="D1365" s="8" t="s">
        <v>6277</v>
      </c>
    </row>
    <row r="1366" spans="1:4" x14ac:dyDescent="0.35">
      <c r="A1366" t="s">
        <v>1080</v>
      </c>
      <c r="B1366" s="8" t="s">
        <v>1081</v>
      </c>
      <c r="C1366" t="s">
        <v>6404</v>
      </c>
      <c r="D1366" s="8" t="s">
        <v>6405</v>
      </c>
    </row>
    <row r="1367" spans="1:4" x14ac:dyDescent="0.35">
      <c r="A1367" t="s">
        <v>1080</v>
      </c>
      <c r="B1367" s="8" t="s">
        <v>1081</v>
      </c>
      <c r="C1367" t="s">
        <v>6656</v>
      </c>
      <c r="D1367" s="8" t="s">
        <v>6657</v>
      </c>
    </row>
    <row r="1368" spans="1:4" x14ac:dyDescent="0.35">
      <c r="A1368" t="s">
        <v>1080</v>
      </c>
      <c r="B1368" s="8" t="s">
        <v>1081</v>
      </c>
      <c r="C1368" t="s">
        <v>6607</v>
      </c>
      <c r="D1368" s="8" t="s">
        <v>6608</v>
      </c>
    </row>
    <row r="1369" spans="1:4" x14ac:dyDescent="0.35">
      <c r="A1369" t="s">
        <v>1080</v>
      </c>
      <c r="B1369" s="8" t="s">
        <v>1081</v>
      </c>
      <c r="C1369" t="s">
        <v>6609</v>
      </c>
      <c r="D1369" s="8" t="s">
        <v>6610</v>
      </c>
    </row>
    <row r="1370" spans="1:4" x14ac:dyDescent="0.35">
      <c r="A1370" t="s">
        <v>1082</v>
      </c>
      <c r="B1370" s="8" t="s">
        <v>1083</v>
      </c>
      <c r="C1370" t="s">
        <v>6276</v>
      </c>
      <c r="D1370" s="8" t="s">
        <v>6277</v>
      </c>
    </row>
    <row r="1371" spans="1:4" x14ac:dyDescent="0.35">
      <c r="A1371" t="s">
        <v>1082</v>
      </c>
      <c r="B1371" s="8" t="s">
        <v>1083</v>
      </c>
      <c r="C1371" t="s">
        <v>6626</v>
      </c>
      <c r="D1371" s="8" t="s">
        <v>6627</v>
      </c>
    </row>
    <row r="1372" spans="1:4" x14ac:dyDescent="0.35">
      <c r="A1372" t="s">
        <v>1082</v>
      </c>
      <c r="B1372" s="8" t="s">
        <v>1083</v>
      </c>
      <c r="C1372" t="s">
        <v>6609</v>
      </c>
      <c r="D1372" s="8" t="s">
        <v>6610</v>
      </c>
    </row>
    <row r="1373" spans="1:4" x14ac:dyDescent="0.35">
      <c r="A1373" t="s">
        <v>1084</v>
      </c>
      <c r="B1373" s="8" t="s">
        <v>1085</v>
      </c>
      <c r="C1373" t="s">
        <v>6276</v>
      </c>
      <c r="D1373" s="8" t="s">
        <v>6277</v>
      </c>
    </row>
    <row r="1374" spans="1:4" x14ac:dyDescent="0.35">
      <c r="A1374" t="s">
        <v>1084</v>
      </c>
      <c r="B1374" s="8" t="s">
        <v>1085</v>
      </c>
      <c r="C1374" t="s">
        <v>6624</v>
      </c>
      <c r="D1374" s="8" t="s">
        <v>6625</v>
      </c>
    </row>
    <row r="1375" spans="1:4" x14ac:dyDescent="0.35">
      <c r="A1375" t="s">
        <v>1084</v>
      </c>
      <c r="B1375" s="8" t="s">
        <v>1085</v>
      </c>
      <c r="C1375" t="s">
        <v>6626</v>
      </c>
      <c r="D1375" s="8" t="s">
        <v>6627</v>
      </c>
    </row>
    <row r="1376" spans="1:4" x14ac:dyDescent="0.35">
      <c r="A1376" t="s">
        <v>1084</v>
      </c>
      <c r="B1376" s="8" t="s">
        <v>1085</v>
      </c>
      <c r="C1376" t="s">
        <v>6609</v>
      </c>
      <c r="D1376" s="8" t="s">
        <v>6610</v>
      </c>
    </row>
    <row r="1377" spans="1:4" x14ac:dyDescent="0.35">
      <c r="A1377" t="s">
        <v>1086</v>
      </c>
      <c r="B1377" s="8" t="s">
        <v>1087</v>
      </c>
      <c r="C1377" t="s">
        <v>6276</v>
      </c>
      <c r="D1377" s="8" t="s">
        <v>6277</v>
      </c>
    </row>
    <row r="1378" spans="1:4" x14ac:dyDescent="0.35">
      <c r="A1378" t="s">
        <v>1086</v>
      </c>
      <c r="B1378" s="8" t="s">
        <v>1087</v>
      </c>
      <c r="C1378" t="s">
        <v>6650</v>
      </c>
      <c r="D1378" s="8" t="s">
        <v>6651</v>
      </c>
    </row>
    <row r="1379" spans="1:4" x14ac:dyDescent="0.35">
      <c r="A1379" t="s">
        <v>1086</v>
      </c>
      <c r="B1379" s="8" t="s">
        <v>1087</v>
      </c>
      <c r="C1379" t="s">
        <v>6628</v>
      </c>
      <c r="D1379" s="8" t="s">
        <v>6629</v>
      </c>
    </row>
    <row r="1380" spans="1:4" x14ac:dyDescent="0.35">
      <c r="A1380" t="s">
        <v>1086</v>
      </c>
      <c r="B1380" s="8" t="s">
        <v>1087</v>
      </c>
      <c r="C1380" t="s">
        <v>6607</v>
      </c>
      <c r="D1380" s="8" t="s">
        <v>6608</v>
      </c>
    </row>
    <row r="1381" spans="1:4" x14ac:dyDescent="0.35">
      <c r="A1381" t="s">
        <v>1086</v>
      </c>
      <c r="B1381" s="8" t="s">
        <v>1087</v>
      </c>
      <c r="C1381" t="s">
        <v>6609</v>
      </c>
      <c r="D1381" s="8" t="s">
        <v>6610</v>
      </c>
    </row>
    <row r="1382" spans="1:4" x14ac:dyDescent="0.35">
      <c r="A1382" t="s">
        <v>1088</v>
      </c>
      <c r="B1382" s="8" t="s">
        <v>1089</v>
      </c>
      <c r="C1382" t="s">
        <v>6276</v>
      </c>
      <c r="D1382" s="8" t="s">
        <v>6277</v>
      </c>
    </row>
    <row r="1383" spans="1:4" x14ac:dyDescent="0.35">
      <c r="A1383" t="s">
        <v>1088</v>
      </c>
      <c r="B1383" s="8" t="s">
        <v>1089</v>
      </c>
      <c r="C1383" t="s">
        <v>6607</v>
      </c>
      <c r="D1383" s="8" t="s">
        <v>6608</v>
      </c>
    </row>
    <row r="1384" spans="1:4" x14ac:dyDescent="0.35">
      <c r="A1384" t="s">
        <v>1088</v>
      </c>
      <c r="B1384" s="8" t="s">
        <v>1089</v>
      </c>
      <c r="C1384" t="s">
        <v>6609</v>
      </c>
      <c r="D1384" s="8" t="s">
        <v>6610</v>
      </c>
    </row>
    <row r="1385" spans="1:4" x14ac:dyDescent="0.35">
      <c r="A1385" t="s">
        <v>1090</v>
      </c>
      <c r="B1385" s="8" t="s">
        <v>1091</v>
      </c>
      <c r="C1385" t="s">
        <v>6658</v>
      </c>
      <c r="D1385" s="8" t="s">
        <v>6659</v>
      </c>
    </row>
    <row r="1386" spans="1:4" x14ac:dyDescent="0.35">
      <c r="A1386" t="s">
        <v>1090</v>
      </c>
      <c r="B1386" s="8" t="s">
        <v>1091</v>
      </c>
      <c r="C1386" t="s">
        <v>6276</v>
      </c>
      <c r="D1386" s="8" t="s">
        <v>6277</v>
      </c>
    </row>
    <row r="1387" spans="1:4" x14ac:dyDescent="0.35">
      <c r="A1387" t="s">
        <v>1090</v>
      </c>
      <c r="B1387" s="8" t="s">
        <v>1091</v>
      </c>
      <c r="C1387" t="s">
        <v>6656</v>
      </c>
      <c r="D1387" s="8" t="s">
        <v>6657</v>
      </c>
    </row>
    <row r="1388" spans="1:4" x14ac:dyDescent="0.35">
      <c r="A1388" t="s">
        <v>1090</v>
      </c>
      <c r="B1388" s="8" t="s">
        <v>1091</v>
      </c>
      <c r="C1388" t="s">
        <v>6609</v>
      </c>
      <c r="D1388" s="8" t="s">
        <v>6610</v>
      </c>
    </row>
    <row r="1389" spans="1:4" x14ac:dyDescent="0.35">
      <c r="A1389" t="s">
        <v>1092</v>
      </c>
      <c r="B1389" s="8" t="s">
        <v>1093</v>
      </c>
      <c r="C1389" t="s">
        <v>6276</v>
      </c>
      <c r="D1389" s="8" t="s">
        <v>6277</v>
      </c>
    </row>
    <row r="1390" spans="1:4" x14ac:dyDescent="0.35">
      <c r="A1390" t="s">
        <v>1092</v>
      </c>
      <c r="B1390" s="8" t="s">
        <v>1093</v>
      </c>
      <c r="C1390" t="s">
        <v>6650</v>
      </c>
      <c r="D1390" s="8" t="s">
        <v>6651</v>
      </c>
    </row>
    <row r="1391" spans="1:4" x14ac:dyDescent="0.35">
      <c r="A1391" t="s">
        <v>1092</v>
      </c>
      <c r="B1391" s="8" t="s">
        <v>1093</v>
      </c>
      <c r="C1391" t="s">
        <v>6656</v>
      </c>
      <c r="D1391" s="8" t="s">
        <v>6657</v>
      </c>
    </row>
    <row r="1392" spans="1:4" x14ac:dyDescent="0.35">
      <c r="A1392" t="s">
        <v>1092</v>
      </c>
      <c r="B1392" s="8" t="s">
        <v>1093</v>
      </c>
      <c r="C1392" t="s">
        <v>6607</v>
      </c>
      <c r="D1392" s="8" t="s">
        <v>6608</v>
      </c>
    </row>
    <row r="1393" spans="1:4" x14ac:dyDescent="0.35">
      <c r="A1393" t="s">
        <v>1092</v>
      </c>
      <c r="B1393" s="8" t="s">
        <v>1093</v>
      </c>
      <c r="C1393" t="s">
        <v>6609</v>
      </c>
      <c r="D1393" s="8" t="s">
        <v>6610</v>
      </c>
    </row>
    <row r="1394" spans="1:4" x14ac:dyDescent="0.35">
      <c r="A1394" t="s">
        <v>1094</v>
      </c>
      <c r="B1394" s="8" t="s">
        <v>1095</v>
      </c>
      <c r="C1394" t="s">
        <v>6644</v>
      </c>
      <c r="D1394" s="8" t="s">
        <v>6645</v>
      </c>
    </row>
    <row r="1395" spans="1:4" x14ac:dyDescent="0.35">
      <c r="A1395" t="s">
        <v>1094</v>
      </c>
      <c r="B1395" s="8" t="s">
        <v>1095</v>
      </c>
      <c r="C1395" t="s">
        <v>6660</v>
      </c>
      <c r="D1395" s="8" t="s">
        <v>6661</v>
      </c>
    </row>
    <row r="1396" spans="1:4" x14ac:dyDescent="0.35">
      <c r="A1396" t="s">
        <v>1094</v>
      </c>
      <c r="B1396" s="8" t="s">
        <v>1095</v>
      </c>
      <c r="C1396" t="s">
        <v>6609</v>
      </c>
      <c r="D1396" s="8" t="s">
        <v>6610</v>
      </c>
    </row>
    <row r="1397" spans="1:4" x14ac:dyDescent="0.35">
      <c r="A1397" t="s">
        <v>1096</v>
      </c>
      <c r="B1397" s="8" t="s">
        <v>1097</v>
      </c>
      <c r="C1397" t="s">
        <v>6276</v>
      </c>
      <c r="D1397" s="8" t="s">
        <v>6277</v>
      </c>
    </row>
    <row r="1398" spans="1:4" x14ac:dyDescent="0.35">
      <c r="A1398" t="s">
        <v>1096</v>
      </c>
      <c r="B1398" s="8" t="s">
        <v>1097</v>
      </c>
      <c r="C1398" t="s">
        <v>6662</v>
      </c>
      <c r="D1398" s="8" t="s">
        <v>6663</v>
      </c>
    </row>
    <row r="1399" spans="1:4" x14ac:dyDescent="0.35">
      <c r="A1399" t="s">
        <v>1096</v>
      </c>
      <c r="B1399" s="8" t="s">
        <v>1097</v>
      </c>
      <c r="C1399" t="s">
        <v>6664</v>
      </c>
      <c r="D1399" s="8" t="s">
        <v>6665</v>
      </c>
    </row>
    <row r="1400" spans="1:4" x14ac:dyDescent="0.35">
      <c r="A1400" t="s">
        <v>1096</v>
      </c>
      <c r="B1400" s="8" t="s">
        <v>1097</v>
      </c>
      <c r="C1400" t="s">
        <v>6607</v>
      </c>
      <c r="D1400" s="8" t="s">
        <v>6608</v>
      </c>
    </row>
    <row r="1401" spans="1:4" x14ac:dyDescent="0.35">
      <c r="A1401" t="s">
        <v>1096</v>
      </c>
      <c r="B1401" s="8" t="s">
        <v>1097</v>
      </c>
      <c r="C1401" t="s">
        <v>6609</v>
      </c>
      <c r="D1401" s="8" t="s">
        <v>6610</v>
      </c>
    </row>
    <row r="1402" spans="1:4" x14ac:dyDescent="0.35">
      <c r="A1402" t="s">
        <v>1098</v>
      </c>
      <c r="B1402" s="8" t="s">
        <v>1099</v>
      </c>
      <c r="C1402" t="s">
        <v>6276</v>
      </c>
      <c r="D1402" s="8" t="s">
        <v>6277</v>
      </c>
    </row>
    <row r="1403" spans="1:4" x14ac:dyDescent="0.35">
      <c r="A1403" t="s">
        <v>1098</v>
      </c>
      <c r="B1403" s="8" t="s">
        <v>1099</v>
      </c>
      <c r="C1403" t="s">
        <v>6632</v>
      </c>
      <c r="D1403" s="8" t="s">
        <v>6633</v>
      </c>
    </row>
    <row r="1404" spans="1:4" x14ac:dyDescent="0.35">
      <c r="A1404" t="s">
        <v>1098</v>
      </c>
      <c r="B1404" s="8" t="s">
        <v>1099</v>
      </c>
      <c r="C1404" t="s">
        <v>6607</v>
      </c>
      <c r="D1404" s="8" t="s">
        <v>6608</v>
      </c>
    </row>
    <row r="1405" spans="1:4" x14ac:dyDescent="0.35">
      <c r="A1405" t="s">
        <v>1098</v>
      </c>
      <c r="B1405" s="8" t="s">
        <v>1099</v>
      </c>
      <c r="C1405" t="s">
        <v>6609</v>
      </c>
      <c r="D1405" s="8" t="s">
        <v>6610</v>
      </c>
    </row>
    <row r="1406" spans="1:4" x14ac:dyDescent="0.35">
      <c r="A1406" t="s">
        <v>1100</v>
      </c>
      <c r="B1406" s="8" t="s">
        <v>1101</v>
      </c>
      <c r="C1406" t="s">
        <v>6276</v>
      </c>
      <c r="D1406" s="8" t="s">
        <v>6277</v>
      </c>
    </row>
    <row r="1407" spans="1:4" x14ac:dyDescent="0.35">
      <c r="A1407" t="s">
        <v>1100</v>
      </c>
      <c r="B1407" s="8" t="s">
        <v>1101</v>
      </c>
      <c r="C1407" t="s">
        <v>6624</v>
      </c>
      <c r="D1407" s="8" t="s">
        <v>6625</v>
      </c>
    </row>
    <row r="1408" spans="1:4" x14ac:dyDescent="0.35">
      <c r="A1408" t="s">
        <v>1100</v>
      </c>
      <c r="B1408" s="8" t="s">
        <v>1101</v>
      </c>
      <c r="C1408" t="s">
        <v>6607</v>
      </c>
      <c r="D1408" s="8" t="s">
        <v>6608</v>
      </c>
    </row>
    <row r="1409" spans="1:4" x14ac:dyDescent="0.35">
      <c r="A1409" t="s">
        <v>1100</v>
      </c>
      <c r="B1409" s="8" t="s">
        <v>1101</v>
      </c>
      <c r="C1409" t="s">
        <v>6609</v>
      </c>
      <c r="D1409" s="8" t="s">
        <v>6610</v>
      </c>
    </row>
    <row r="1410" spans="1:4" x14ac:dyDescent="0.35">
      <c r="A1410" t="s">
        <v>1102</v>
      </c>
      <c r="B1410" s="8" t="s">
        <v>1103</v>
      </c>
      <c r="C1410" t="s">
        <v>6276</v>
      </c>
      <c r="D1410" s="8" t="s">
        <v>6277</v>
      </c>
    </row>
    <row r="1411" spans="1:4" x14ac:dyDescent="0.35">
      <c r="A1411" t="s">
        <v>1102</v>
      </c>
      <c r="B1411" s="8" t="s">
        <v>1103</v>
      </c>
      <c r="C1411" t="s">
        <v>6638</v>
      </c>
      <c r="D1411" s="8" t="s">
        <v>6639</v>
      </c>
    </row>
    <row r="1412" spans="1:4" x14ac:dyDescent="0.35">
      <c r="A1412" t="s">
        <v>1102</v>
      </c>
      <c r="B1412" s="8" t="s">
        <v>1103</v>
      </c>
      <c r="C1412" t="s">
        <v>6642</v>
      </c>
      <c r="D1412" s="8" t="s">
        <v>6643</v>
      </c>
    </row>
    <row r="1413" spans="1:4" x14ac:dyDescent="0.35">
      <c r="A1413" t="s">
        <v>1102</v>
      </c>
      <c r="B1413" s="8" t="s">
        <v>1103</v>
      </c>
      <c r="C1413" t="s">
        <v>6607</v>
      </c>
      <c r="D1413" s="8" t="s">
        <v>6608</v>
      </c>
    </row>
    <row r="1414" spans="1:4" x14ac:dyDescent="0.35">
      <c r="A1414" t="s">
        <v>1102</v>
      </c>
      <c r="B1414" s="8" t="s">
        <v>1103</v>
      </c>
      <c r="C1414" t="s">
        <v>6609</v>
      </c>
      <c r="D1414" s="8" t="s">
        <v>6610</v>
      </c>
    </row>
    <row r="1415" spans="1:4" x14ac:dyDescent="0.35">
      <c r="A1415" t="s">
        <v>1104</v>
      </c>
      <c r="B1415" s="8" t="s">
        <v>1105</v>
      </c>
      <c r="C1415" t="s">
        <v>6276</v>
      </c>
      <c r="D1415" s="8" t="s">
        <v>6277</v>
      </c>
    </row>
    <row r="1416" spans="1:4" x14ac:dyDescent="0.35">
      <c r="A1416" t="s">
        <v>1104</v>
      </c>
      <c r="B1416" s="8" t="s">
        <v>1105</v>
      </c>
      <c r="C1416" t="s">
        <v>6607</v>
      </c>
      <c r="D1416" s="8" t="s">
        <v>6608</v>
      </c>
    </row>
    <row r="1417" spans="1:4" x14ac:dyDescent="0.35">
      <c r="A1417" t="s">
        <v>1104</v>
      </c>
      <c r="B1417" s="8" t="s">
        <v>1105</v>
      </c>
      <c r="C1417" t="s">
        <v>6609</v>
      </c>
      <c r="D1417" s="8" t="s">
        <v>6610</v>
      </c>
    </row>
    <row r="1418" spans="1:4" x14ac:dyDescent="0.35">
      <c r="A1418" t="s">
        <v>1106</v>
      </c>
      <c r="B1418" s="8" t="s">
        <v>1107</v>
      </c>
      <c r="C1418" t="s">
        <v>6276</v>
      </c>
      <c r="D1418" s="8" t="s">
        <v>6277</v>
      </c>
    </row>
    <row r="1419" spans="1:4" x14ac:dyDescent="0.35">
      <c r="A1419" t="s">
        <v>1106</v>
      </c>
      <c r="B1419" s="8" t="s">
        <v>1107</v>
      </c>
      <c r="C1419" t="s">
        <v>6624</v>
      </c>
      <c r="D1419" s="8" t="s">
        <v>6625</v>
      </c>
    </row>
    <row r="1420" spans="1:4" x14ac:dyDescent="0.35">
      <c r="A1420" t="s">
        <v>1106</v>
      </c>
      <c r="B1420" s="8" t="s">
        <v>1107</v>
      </c>
      <c r="C1420" t="s">
        <v>6607</v>
      </c>
      <c r="D1420" s="8" t="s">
        <v>6608</v>
      </c>
    </row>
    <row r="1421" spans="1:4" x14ac:dyDescent="0.35">
      <c r="A1421" t="s">
        <v>1106</v>
      </c>
      <c r="B1421" s="8" t="s">
        <v>1107</v>
      </c>
      <c r="C1421" t="s">
        <v>6609</v>
      </c>
      <c r="D1421" s="8" t="s">
        <v>6610</v>
      </c>
    </row>
    <row r="1422" spans="1:4" x14ac:dyDescent="0.35">
      <c r="A1422" t="s">
        <v>1108</v>
      </c>
      <c r="B1422" s="8" t="s">
        <v>1109</v>
      </c>
      <c r="C1422" t="s">
        <v>6276</v>
      </c>
      <c r="D1422" s="8" t="s">
        <v>6277</v>
      </c>
    </row>
    <row r="1423" spans="1:4" x14ac:dyDescent="0.35">
      <c r="A1423" t="s">
        <v>1108</v>
      </c>
      <c r="B1423" s="8" t="s">
        <v>1109</v>
      </c>
      <c r="C1423" t="s">
        <v>6624</v>
      </c>
      <c r="D1423" s="8" t="s">
        <v>6625</v>
      </c>
    </row>
    <row r="1424" spans="1:4" x14ac:dyDescent="0.35">
      <c r="A1424" t="s">
        <v>1108</v>
      </c>
      <c r="B1424" s="8" t="s">
        <v>1109</v>
      </c>
      <c r="C1424" t="s">
        <v>6607</v>
      </c>
      <c r="D1424" s="8" t="s">
        <v>6608</v>
      </c>
    </row>
    <row r="1425" spans="1:4" x14ac:dyDescent="0.35">
      <c r="A1425" t="s">
        <v>1108</v>
      </c>
      <c r="B1425" s="8" t="s">
        <v>1109</v>
      </c>
      <c r="C1425" t="s">
        <v>6609</v>
      </c>
      <c r="D1425" s="8" t="s">
        <v>6610</v>
      </c>
    </row>
    <row r="1426" spans="1:4" x14ac:dyDescent="0.35">
      <c r="A1426" t="s">
        <v>1110</v>
      </c>
      <c r="B1426" s="8" t="s">
        <v>1111</v>
      </c>
      <c r="C1426" t="s">
        <v>6276</v>
      </c>
      <c r="D1426" s="8" t="s">
        <v>6277</v>
      </c>
    </row>
    <row r="1427" spans="1:4" x14ac:dyDescent="0.35">
      <c r="A1427" t="s">
        <v>1110</v>
      </c>
      <c r="B1427" s="8" t="s">
        <v>1111</v>
      </c>
      <c r="C1427" t="s">
        <v>6622</v>
      </c>
      <c r="D1427" s="8" t="s">
        <v>6623</v>
      </c>
    </row>
    <row r="1428" spans="1:4" x14ac:dyDescent="0.35">
      <c r="A1428" t="s">
        <v>1110</v>
      </c>
      <c r="B1428" s="8" t="s">
        <v>1111</v>
      </c>
      <c r="C1428" t="s">
        <v>6607</v>
      </c>
      <c r="D1428" s="8" t="s">
        <v>6608</v>
      </c>
    </row>
    <row r="1429" spans="1:4" x14ac:dyDescent="0.35">
      <c r="A1429" t="s">
        <v>1110</v>
      </c>
      <c r="B1429" s="8" t="s">
        <v>1111</v>
      </c>
      <c r="C1429" t="s">
        <v>6609</v>
      </c>
      <c r="D1429" s="8" t="s">
        <v>6610</v>
      </c>
    </row>
    <row r="1430" spans="1:4" x14ac:dyDescent="0.35">
      <c r="A1430" t="s">
        <v>6666</v>
      </c>
      <c r="B1430" s="8" t="s">
        <v>1112</v>
      </c>
      <c r="C1430" t="s">
        <v>6276</v>
      </c>
      <c r="D1430" s="8" t="s">
        <v>6277</v>
      </c>
    </row>
    <row r="1431" spans="1:4" x14ac:dyDescent="0.35">
      <c r="A1431" t="s">
        <v>6666</v>
      </c>
      <c r="B1431" s="8" t="s">
        <v>1112</v>
      </c>
      <c r="C1431" t="s">
        <v>6636</v>
      </c>
      <c r="D1431" s="8" t="s">
        <v>6637</v>
      </c>
    </row>
    <row r="1432" spans="1:4" x14ac:dyDescent="0.35">
      <c r="A1432" t="s">
        <v>6666</v>
      </c>
      <c r="B1432" s="8" t="s">
        <v>1112</v>
      </c>
      <c r="C1432" t="s">
        <v>6638</v>
      </c>
      <c r="D1432" s="8" t="s">
        <v>6639</v>
      </c>
    </row>
    <row r="1433" spans="1:4" x14ac:dyDescent="0.35">
      <c r="A1433" t="s">
        <v>6666</v>
      </c>
      <c r="B1433" s="8" t="s">
        <v>1112</v>
      </c>
      <c r="C1433" t="s">
        <v>6607</v>
      </c>
      <c r="D1433" s="8" t="s">
        <v>6608</v>
      </c>
    </row>
    <row r="1434" spans="1:4" x14ac:dyDescent="0.35">
      <c r="A1434" t="s">
        <v>6666</v>
      </c>
      <c r="B1434" s="8" t="s">
        <v>1112</v>
      </c>
      <c r="C1434" t="s">
        <v>6609</v>
      </c>
      <c r="D1434" s="8" t="s">
        <v>6610</v>
      </c>
    </row>
    <row r="1435" spans="1:4" x14ac:dyDescent="0.35">
      <c r="A1435" t="s">
        <v>6667</v>
      </c>
      <c r="B1435" s="8" t="s">
        <v>1113</v>
      </c>
      <c r="C1435" t="s">
        <v>6276</v>
      </c>
      <c r="D1435" s="8" t="s">
        <v>6277</v>
      </c>
    </row>
    <row r="1436" spans="1:4" x14ac:dyDescent="0.35">
      <c r="A1436" t="s">
        <v>6667</v>
      </c>
      <c r="B1436" s="8" t="s">
        <v>1113</v>
      </c>
      <c r="C1436" t="s">
        <v>6607</v>
      </c>
      <c r="D1436" s="8" t="s">
        <v>6608</v>
      </c>
    </row>
    <row r="1437" spans="1:4" x14ac:dyDescent="0.35">
      <c r="A1437" t="s">
        <v>6667</v>
      </c>
      <c r="B1437" s="8" t="s">
        <v>1113</v>
      </c>
      <c r="C1437" t="s">
        <v>6609</v>
      </c>
      <c r="D1437" s="8" t="s">
        <v>6610</v>
      </c>
    </row>
    <row r="1438" spans="1:4" x14ac:dyDescent="0.35">
      <c r="A1438" t="s">
        <v>6668</v>
      </c>
      <c r="B1438" s="8" t="s">
        <v>1114</v>
      </c>
      <c r="C1438" t="s">
        <v>6276</v>
      </c>
      <c r="D1438" s="8" t="s">
        <v>6277</v>
      </c>
    </row>
    <row r="1439" spans="1:4" x14ac:dyDescent="0.35">
      <c r="A1439" t="s">
        <v>6668</v>
      </c>
      <c r="B1439" s="8" t="s">
        <v>1114</v>
      </c>
      <c r="C1439" t="s">
        <v>6607</v>
      </c>
      <c r="D1439" s="8" t="s">
        <v>6608</v>
      </c>
    </row>
    <row r="1440" spans="1:4" x14ac:dyDescent="0.35">
      <c r="A1440" t="s">
        <v>6668</v>
      </c>
      <c r="B1440" s="8" t="s">
        <v>1114</v>
      </c>
      <c r="C1440" t="s">
        <v>6609</v>
      </c>
      <c r="D1440" s="8" t="s">
        <v>6610</v>
      </c>
    </row>
    <row r="1441" spans="1:4" x14ac:dyDescent="0.35">
      <c r="A1441" t="s">
        <v>6669</v>
      </c>
      <c r="B1441" s="8" t="s">
        <v>1115</v>
      </c>
      <c r="C1441" t="s">
        <v>6276</v>
      </c>
      <c r="D1441" s="8" t="s">
        <v>6277</v>
      </c>
    </row>
    <row r="1442" spans="1:4" x14ac:dyDescent="0.35">
      <c r="A1442" t="s">
        <v>6669</v>
      </c>
      <c r="B1442" s="8" t="s">
        <v>1115</v>
      </c>
      <c r="C1442" t="s">
        <v>6607</v>
      </c>
      <c r="D1442" s="8" t="s">
        <v>6608</v>
      </c>
    </row>
    <row r="1443" spans="1:4" x14ac:dyDescent="0.35">
      <c r="A1443" t="s">
        <v>6669</v>
      </c>
      <c r="B1443" s="8" t="s">
        <v>1115</v>
      </c>
      <c r="C1443" t="s">
        <v>6609</v>
      </c>
      <c r="D1443" s="8" t="s">
        <v>6610</v>
      </c>
    </row>
    <row r="1444" spans="1:4" x14ac:dyDescent="0.35">
      <c r="A1444" t="s">
        <v>1116</v>
      </c>
      <c r="B1444" s="8" t="s">
        <v>1117</v>
      </c>
      <c r="C1444" t="s">
        <v>6276</v>
      </c>
      <c r="D1444" s="8" t="s">
        <v>6277</v>
      </c>
    </row>
    <row r="1445" spans="1:4" x14ac:dyDescent="0.35">
      <c r="A1445" t="s">
        <v>1116</v>
      </c>
      <c r="B1445" s="8" t="s">
        <v>1117</v>
      </c>
      <c r="C1445" t="s">
        <v>6648</v>
      </c>
      <c r="D1445" s="8" t="s">
        <v>6649</v>
      </c>
    </row>
    <row r="1446" spans="1:4" x14ac:dyDescent="0.35">
      <c r="A1446" t="s">
        <v>1116</v>
      </c>
      <c r="B1446" s="8" t="s">
        <v>1117</v>
      </c>
      <c r="C1446" t="s">
        <v>6607</v>
      </c>
      <c r="D1446" s="8" t="s">
        <v>6608</v>
      </c>
    </row>
    <row r="1447" spans="1:4" x14ac:dyDescent="0.35">
      <c r="A1447" t="s">
        <v>1116</v>
      </c>
      <c r="B1447" s="8" t="s">
        <v>1117</v>
      </c>
      <c r="C1447" t="s">
        <v>6609</v>
      </c>
      <c r="D1447" s="8" t="s">
        <v>6610</v>
      </c>
    </row>
    <row r="1448" spans="1:4" x14ac:dyDescent="0.35">
      <c r="A1448" t="s">
        <v>1118</v>
      </c>
      <c r="B1448" s="8" t="s">
        <v>1120</v>
      </c>
      <c r="C1448" t="s">
        <v>6615</v>
      </c>
      <c r="D1448" s="8" t="s">
        <v>6616</v>
      </c>
    </row>
    <row r="1449" spans="1:4" x14ac:dyDescent="0.35">
      <c r="A1449" t="s">
        <v>1118</v>
      </c>
      <c r="B1449" s="8" t="s">
        <v>1120</v>
      </c>
      <c r="C1449" t="s">
        <v>6670</v>
      </c>
      <c r="D1449" s="8" t="s">
        <v>6671</v>
      </c>
    </row>
    <row r="1450" spans="1:4" x14ac:dyDescent="0.35">
      <c r="A1450" t="s">
        <v>1118</v>
      </c>
      <c r="B1450" s="8" t="s">
        <v>1120</v>
      </c>
      <c r="C1450" t="s">
        <v>6672</v>
      </c>
      <c r="D1450" s="8" t="s">
        <v>6673</v>
      </c>
    </row>
    <row r="1451" spans="1:4" x14ac:dyDescent="0.35">
      <c r="A1451" t="s">
        <v>1118</v>
      </c>
      <c r="B1451" s="8" t="s">
        <v>1120</v>
      </c>
      <c r="C1451" t="s">
        <v>6674</v>
      </c>
      <c r="D1451" s="8" t="s">
        <v>6675</v>
      </c>
    </row>
    <row r="1452" spans="1:4" x14ac:dyDescent="0.35">
      <c r="A1452" t="s">
        <v>6676</v>
      </c>
      <c r="B1452" s="8" t="s">
        <v>1121</v>
      </c>
      <c r="C1452" t="s">
        <v>6674</v>
      </c>
      <c r="D1452" s="8" t="s">
        <v>6675</v>
      </c>
    </row>
    <row r="1453" spans="1:4" x14ac:dyDescent="0.35">
      <c r="A1453" t="s">
        <v>6676</v>
      </c>
      <c r="B1453" s="8" t="s">
        <v>1121</v>
      </c>
      <c r="C1453" t="s">
        <v>6677</v>
      </c>
      <c r="D1453" s="8" t="s">
        <v>6678</v>
      </c>
    </row>
    <row r="1454" spans="1:4" x14ac:dyDescent="0.35">
      <c r="A1454" t="s">
        <v>6676</v>
      </c>
      <c r="B1454" s="8" t="s">
        <v>1121</v>
      </c>
      <c r="C1454" t="s">
        <v>6679</v>
      </c>
      <c r="D1454" s="8" t="s">
        <v>6680</v>
      </c>
    </row>
    <row r="1455" spans="1:4" x14ac:dyDescent="0.35">
      <c r="A1455" t="s">
        <v>1122</v>
      </c>
      <c r="B1455" s="8" t="s">
        <v>1124</v>
      </c>
      <c r="C1455" t="s">
        <v>6300</v>
      </c>
      <c r="D1455" s="8" t="s">
        <v>6301</v>
      </c>
    </row>
    <row r="1456" spans="1:4" x14ac:dyDescent="0.35">
      <c r="A1456" t="s">
        <v>1122</v>
      </c>
      <c r="B1456" s="8" t="s">
        <v>1124</v>
      </c>
      <c r="C1456" t="s">
        <v>6670</v>
      </c>
      <c r="D1456" s="8" t="s">
        <v>6671</v>
      </c>
    </row>
    <row r="1457" spans="1:4" x14ac:dyDescent="0.35">
      <c r="A1457" t="s">
        <v>1122</v>
      </c>
      <c r="B1457" s="8" t="s">
        <v>1124</v>
      </c>
      <c r="C1457" t="s">
        <v>6679</v>
      </c>
      <c r="D1457" s="8" t="s">
        <v>6680</v>
      </c>
    </row>
    <row r="1458" spans="1:4" x14ac:dyDescent="0.35">
      <c r="A1458" t="s">
        <v>1125</v>
      </c>
      <c r="B1458" s="8" t="s">
        <v>1127</v>
      </c>
      <c r="C1458" t="s">
        <v>6670</v>
      </c>
      <c r="D1458" s="8" t="s">
        <v>6671</v>
      </c>
    </row>
    <row r="1459" spans="1:4" x14ac:dyDescent="0.35">
      <c r="A1459" t="s">
        <v>1125</v>
      </c>
      <c r="B1459" s="8" t="s">
        <v>1127</v>
      </c>
      <c r="C1459" t="s">
        <v>6681</v>
      </c>
      <c r="D1459" s="8" t="s">
        <v>6682</v>
      </c>
    </row>
    <row r="1460" spans="1:4" x14ac:dyDescent="0.35">
      <c r="A1460" t="s">
        <v>1128</v>
      </c>
      <c r="B1460" s="8" t="s">
        <v>1130</v>
      </c>
      <c r="C1460" t="s">
        <v>6683</v>
      </c>
      <c r="D1460" s="8" t="s">
        <v>6684</v>
      </c>
    </row>
    <row r="1461" spans="1:4" x14ac:dyDescent="0.35">
      <c r="A1461" t="s">
        <v>1128</v>
      </c>
      <c r="B1461" s="8" t="s">
        <v>1130</v>
      </c>
      <c r="C1461" t="s">
        <v>6615</v>
      </c>
      <c r="D1461" s="8" t="s">
        <v>6616</v>
      </c>
    </row>
    <row r="1462" spans="1:4" x14ac:dyDescent="0.35">
      <c r="A1462" t="s">
        <v>1128</v>
      </c>
      <c r="B1462" s="8" t="s">
        <v>1130</v>
      </c>
      <c r="C1462" t="s">
        <v>6672</v>
      </c>
      <c r="D1462" s="8" t="s">
        <v>6673</v>
      </c>
    </row>
    <row r="1463" spans="1:4" x14ac:dyDescent="0.35">
      <c r="A1463" t="s">
        <v>1128</v>
      </c>
      <c r="B1463" s="8" t="s">
        <v>1130</v>
      </c>
      <c r="C1463" t="s">
        <v>6674</v>
      </c>
      <c r="D1463" s="8" t="s">
        <v>6675</v>
      </c>
    </row>
    <row r="1464" spans="1:4" x14ac:dyDescent="0.35">
      <c r="A1464" t="s">
        <v>1128</v>
      </c>
      <c r="B1464" s="8" t="s">
        <v>1130</v>
      </c>
      <c r="C1464" t="s">
        <v>6685</v>
      </c>
      <c r="D1464" s="8" t="s">
        <v>6686</v>
      </c>
    </row>
    <row r="1465" spans="1:4" x14ac:dyDescent="0.35">
      <c r="A1465" t="s">
        <v>1128</v>
      </c>
      <c r="B1465" s="8" t="s">
        <v>1130</v>
      </c>
      <c r="C1465" t="s">
        <v>6687</v>
      </c>
      <c r="D1465" s="8" t="s">
        <v>6688</v>
      </c>
    </row>
    <row r="1466" spans="1:4" x14ac:dyDescent="0.35">
      <c r="A1466" t="s">
        <v>1131</v>
      </c>
      <c r="B1466" s="8" t="s">
        <v>1132</v>
      </c>
      <c r="C1466" t="s">
        <v>6679</v>
      </c>
      <c r="D1466" s="8" t="s">
        <v>6680</v>
      </c>
    </row>
    <row r="1467" spans="1:4" x14ac:dyDescent="0.35">
      <c r="A1467" t="s">
        <v>1133</v>
      </c>
      <c r="B1467" s="8" t="s">
        <v>1134</v>
      </c>
      <c r="C1467" t="s">
        <v>6672</v>
      </c>
      <c r="D1467" s="8" t="s">
        <v>6673</v>
      </c>
    </row>
    <row r="1468" spans="1:4" x14ac:dyDescent="0.35">
      <c r="A1468" t="s">
        <v>1135</v>
      </c>
      <c r="B1468" s="8" t="s">
        <v>1137</v>
      </c>
      <c r="C1468" t="s">
        <v>6683</v>
      </c>
      <c r="D1468" s="8" t="s">
        <v>6684</v>
      </c>
    </row>
    <row r="1469" spans="1:4" x14ac:dyDescent="0.35">
      <c r="A1469" t="s">
        <v>1135</v>
      </c>
      <c r="B1469" s="8" t="s">
        <v>1137</v>
      </c>
      <c r="C1469" t="s">
        <v>6672</v>
      </c>
      <c r="D1469" s="8" t="s">
        <v>6673</v>
      </c>
    </row>
    <row r="1470" spans="1:4" x14ac:dyDescent="0.35">
      <c r="A1470" t="s">
        <v>6689</v>
      </c>
      <c r="B1470" s="8" t="s">
        <v>1138</v>
      </c>
      <c r="C1470" t="s">
        <v>6679</v>
      </c>
      <c r="D1470" s="8" t="s">
        <v>6680</v>
      </c>
    </row>
    <row r="1471" spans="1:4" x14ac:dyDescent="0.35">
      <c r="A1471" t="s">
        <v>6689</v>
      </c>
      <c r="B1471" s="8" t="s">
        <v>1138</v>
      </c>
      <c r="C1471" t="s">
        <v>6377</v>
      </c>
      <c r="D1471" s="8" t="s">
        <v>6378</v>
      </c>
    </row>
    <row r="1472" spans="1:4" x14ac:dyDescent="0.35">
      <c r="A1472" t="s">
        <v>6689</v>
      </c>
      <c r="B1472" s="8" t="s">
        <v>1138</v>
      </c>
      <c r="C1472" t="s">
        <v>6371</v>
      </c>
      <c r="D1472" s="8" t="s">
        <v>6372</v>
      </c>
    </row>
    <row r="1473" spans="1:4" x14ac:dyDescent="0.35">
      <c r="A1473" t="s">
        <v>1139</v>
      </c>
      <c r="B1473" s="8" t="s">
        <v>1141</v>
      </c>
      <c r="C1473" t="s">
        <v>6672</v>
      </c>
      <c r="D1473" s="8" t="s">
        <v>6673</v>
      </c>
    </row>
    <row r="1474" spans="1:4" x14ac:dyDescent="0.35">
      <c r="A1474" t="s">
        <v>1142</v>
      </c>
      <c r="B1474" s="8" t="s">
        <v>1143</v>
      </c>
      <c r="C1474" t="s">
        <v>6685</v>
      </c>
      <c r="D1474" s="8" t="s">
        <v>6686</v>
      </c>
    </row>
    <row r="1475" spans="1:4" x14ac:dyDescent="0.35">
      <c r="A1475" t="s">
        <v>1142</v>
      </c>
      <c r="B1475" s="8" t="s">
        <v>1143</v>
      </c>
      <c r="C1475" t="s">
        <v>6679</v>
      </c>
      <c r="D1475" s="8" t="s">
        <v>6680</v>
      </c>
    </row>
    <row r="1476" spans="1:4" x14ac:dyDescent="0.35">
      <c r="A1476" t="s">
        <v>1142</v>
      </c>
      <c r="B1476" s="8" t="s">
        <v>1143</v>
      </c>
      <c r="C1476" t="s">
        <v>6690</v>
      </c>
      <c r="D1476" s="8" t="s">
        <v>6691</v>
      </c>
    </row>
    <row r="1477" spans="1:4" x14ac:dyDescent="0.35">
      <c r="A1477" t="s">
        <v>1144</v>
      </c>
      <c r="B1477" s="8" t="s">
        <v>1146</v>
      </c>
      <c r="C1477" t="s">
        <v>6683</v>
      </c>
      <c r="D1477" s="8" t="s">
        <v>6684</v>
      </c>
    </row>
    <row r="1478" spans="1:4" x14ac:dyDescent="0.35">
      <c r="A1478" t="s">
        <v>1144</v>
      </c>
      <c r="B1478" s="8" t="s">
        <v>1146</v>
      </c>
      <c r="C1478" t="s">
        <v>6674</v>
      </c>
      <c r="D1478" s="8" t="s">
        <v>6675</v>
      </c>
    </row>
    <row r="1479" spans="1:4" x14ac:dyDescent="0.35">
      <c r="A1479" t="s">
        <v>1147</v>
      </c>
      <c r="B1479" s="8" t="s">
        <v>1148</v>
      </c>
      <c r="C1479" t="s">
        <v>6674</v>
      </c>
      <c r="D1479" s="8" t="s">
        <v>6675</v>
      </c>
    </row>
    <row r="1480" spans="1:4" x14ac:dyDescent="0.35">
      <c r="A1480" t="s">
        <v>1147</v>
      </c>
      <c r="B1480" s="8" t="s">
        <v>1148</v>
      </c>
      <c r="C1480" t="s">
        <v>6685</v>
      </c>
      <c r="D1480" s="8" t="s">
        <v>6686</v>
      </c>
    </row>
    <row r="1481" spans="1:4" x14ac:dyDescent="0.35">
      <c r="A1481" t="s">
        <v>1147</v>
      </c>
      <c r="B1481" s="8" t="s">
        <v>1148</v>
      </c>
      <c r="C1481" t="s">
        <v>6692</v>
      </c>
      <c r="D1481" s="8" t="s">
        <v>6693</v>
      </c>
    </row>
    <row r="1482" spans="1:4" x14ac:dyDescent="0.35">
      <c r="A1482" t="s">
        <v>1149</v>
      </c>
      <c r="B1482" s="8" t="s">
        <v>1150</v>
      </c>
      <c r="C1482" t="s">
        <v>6674</v>
      </c>
      <c r="D1482" s="8" t="s">
        <v>6675</v>
      </c>
    </row>
    <row r="1483" spans="1:4" x14ac:dyDescent="0.35">
      <c r="A1483" t="s">
        <v>1151</v>
      </c>
      <c r="B1483" s="8" t="s">
        <v>1152</v>
      </c>
      <c r="C1483" t="s">
        <v>6672</v>
      </c>
      <c r="D1483" s="8" t="s">
        <v>6673</v>
      </c>
    </row>
    <row r="1484" spans="1:4" x14ac:dyDescent="0.35">
      <c r="A1484" t="s">
        <v>1151</v>
      </c>
      <c r="B1484" s="8" t="s">
        <v>1152</v>
      </c>
      <c r="C1484" t="s">
        <v>6674</v>
      </c>
      <c r="D1484" s="8" t="s">
        <v>6675</v>
      </c>
    </row>
    <row r="1485" spans="1:4" x14ac:dyDescent="0.35">
      <c r="A1485" t="s">
        <v>6694</v>
      </c>
      <c r="B1485" s="8" t="s">
        <v>1153</v>
      </c>
      <c r="C1485" t="s">
        <v>6674</v>
      </c>
      <c r="D1485" s="8" t="s">
        <v>6675</v>
      </c>
    </row>
    <row r="1486" spans="1:4" x14ac:dyDescent="0.35">
      <c r="A1486" t="s">
        <v>1154</v>
      </c>
      <c r="B1486" s="8" t="s">
        <v>1156</v>
      </c>
      <c r="C1486" t="s">
        <v>6674</v>
      </c>
      <c r="D1486" s="8" t="s">
        <v>6675</v>
      </c>
    </row>
    <row r="1487" spans="1:4" ht="29" x14ac:dyDescent="0.35">
      <c r="A1487" t="s">
        <v>1157</v>
      </c>
      <c r="B1487" s="8" t="s">
        <v>1158</v>
      </c>
      <c r="C1487" t="s">
        <v>6679</v>
      </c>
      <c r="D1487" s="8" t="s">
        <v>6680</v>
      </c>
    </row>
    <row r="1488" spans="1:4" ht="29" x14ac:dyDescent="0.35">
      <c r="A1488" t="s">
        <v>1157</v>
      </c>
      <c r="B1488" s="8" t="s">
        <v>1158</v>
      </c>
      <c r="C1488" t="s">
        <v>6695</v>
      </c>
      <c r="D1488" s="8" t="s">
        <v>6696</v>
      </c>
    </row>
    <row r="1489" spans="1:4" ht="29" x14ac:dyDescent="0.35">
      <c r="A1489" t="s">
        <v>1164</v>
      </c>
      <c r="B1489" s="8" t="s">
        <v>1165</v>
      </c>
      <c r="C1489" t="s">
        <v>6697</v>
      </c>
      <c r="D1489" s="8" t="s">
        <v>6698</v>
      </c>
    </row>
    <row r="1490" spans="1:4" ht="29" x14ac:dyDescent="0.35">
      <c r="A1490" t="s">
        <v>1164</v>
      </c>
      <c r="B1490" s="8" t="s">
        <v>1165</v>
      </c>
      <c r="C1490" t="s">
        <v>6241</v>
      </c>
      <c r="D1490" s="8" t="s">
        <v>6242</v>
      </c>
    </row>
    <row r="1491" spans="1:4" ht="29" x14ac:dyDescent="0.35">
      <c r="A1491" t="s">
        <v>1164</v>
      </c>
      <c r="B1491" s="8" t="s">
        <v>1165</v>
      </c>
      <c r="C1491" t="s">
        <v>6699</v>
      </c>
      <c r="D1491" s="8" t="s">
        <v>6700</v>
      </c>
    </row>
    <row r="1492" spans="1:4" x14ac:dyDescent="0.35">
      <c r="A1492" t="s">
        <v>1166</v>
      </c>
      <c r="B1492" s="8" t="s">
        <v>1168</v>
      </c>
      <c r="C1492" t="s">
        <v>6697</v>
      </c>
      <c r="D1492" s="8" t="s">
        <v>6698</v>
      </c>
    </row>
    <row r="1493" spans="1:4" x14ac:dyDescent="0.35">
      <c r="A1493" t="s">
        <v>1166</v>
      </c>
      <c r="B1493" s="8" t="s">
        <v>1168</v>
      </c>
      <c r="C1493" t="s">
        <v>6241</v>
      </c>
      <c r="D1493" s="8" t="s">
        <v>6242</v>
      </c>
    </row>
    <row r="1494" spans="1:4" x14ac:dyDescent="0.35">
      <c r="A1494" t="s">
        <v>1169</v>
      </c>
      <c r="B1494" s="8" t="s">
        <v>1170</v>
      </c>
      <c r="C1494" t="s">
        <v>6697</v>
      </c>
      <c r="D1494" s="8" t="s">
        <v>6698</v>
      </c>
    </row>
    <row r="1495" spans="1:4" x14ac:dyDescent="0.35">
      <c r="A1495" t="s">
        <v>1169</v>
      </c>
      <c r="B1495" s="8" t="s">
        <v>1170</v>
      </c>
      <c r="C1495" t="s">
        <v>6241</v>
      </c>
      <c r="D1495" s="8" t="s">
        <v>6242</v>
      </c>
    </row>
    <row r="1496" spans="1:4" x14ac:dyDescent="0.35">
      <c r="A1496" t="s">
        <v>1169</v>
      </c>
      <c r="B1496" s="8" t="s">
        <v>1170</v>
      </c>
      <c r="C1496" t="s">
        <v>6701</v>
      </c>
      <c r="D1496" s="8" t="s">
        <v>6702</v>
      </c>
    </row>
    <row r="1497" spans="1:4" x14ac:dyDescent="0.35">
      <c r="A1497" t="s">
        <v>1171</v>
      </c>
      <c r="B1497" s="8" t="s">
        <v>1172</v>
      </c>
      <c r="C1497" t="s">
        <v>6679</v>
      </c>
      <c r="D1497" s="8" t="s">
        <v>6680</v>
      </c>
    </row>
    <row r="1498" spans="1:4" x14ac:dyDescent="0.35">
      <c r="A1498" t="s">
        <v>1173</v>
      </c>
      <c r="B1498" s="8" t="s">
        <v>1174</v>
      </c>
      <c r="C1498" t="s">
        <v>6679</v>
      </c>
      <c r="D1498" s="8" t="s">
        <v>6680</v>
      </c>
    </row>
    <row r="1499" spans="1:4" x14ac:dyDescent="0.35">
      <c r="A1499" t="s">
        <v>1175</v>
      </c>
      <c r="B1499" s="8" t="s">
        <v>1176</v>
      </c>
      <c r="C1499" t="s">
        <v>6679</v>
      </c>
      <c r="D1499" s="8" t="s">
        <v>6680</v>
      </c>
    </row>
    <row r="1500" spans="1:4" x14ac:dyDescent="0.35">
      <c r="A1500" t="s">
        <v>1177</v>
      </c>
      <c r="B1500" s="8" t="s">
        <v>1178</v>
      </c>
      <c r="C1500" t="s">
        <v>6677</v>
      </c>
      <c r="D1500" s="8" t="s">
        <v>6678</v>
      </c>
    </row>
    <row r="1501" spans="1:4" x14ac:dyDescent="0.35">
      <c r="A1501" t="s">
        <v>1179</v>
      </c>
      <c r="B1501" s="8" t="s">
        <v>1180</v>
      </c>
      <c r="C1501" t="s">
        <v>6677</v>
      </c>
      <c r="D1501" s="8" t="s">
        <v>6678</v>
      </c>
    </row>
    <row r="1502" spans="1:4" x14ac:dyDescent="0.35">
      <c r="A1502" t="s">
        <v>1181</v>
      </c>
      <c r="B1502" s="8" t="s">
        <v>1182</v>
      </c>
      <c r="C1502" t="s">
        <v>6679</v>
      </c>
      <c r="D1502" s="8" t="s">
        <v>6680</v>
      </c>
    </row>
    <row r="1503" spans="1:4" x14ac:dyDescent="0.35">
      <c r="A1503" t="s">
        <v>1181</v>
      </c>
      <c r="B1503" s="8" t="s">
        <v>1182</v>
      </c>
      <c r="C1503" t="s">
        <v>6703</v>
      </c>
      <c r="D1503" s="8" t="s">
        <v>6704</v>
      </c>
    </row>
    <row r="1504" spans="1:4" x14ac:dyDescent="0.35">
      <c r="A1504" t="s">
        <v>1183</v>
      </c>
      <c r="B1504" s="8" t="s">
        <v>1184</v>
      </c>
      <c r="C1504" t="s">
        <v>6679</v>
      </c>
      <c r="D1504" s="8" t="s">
        <v>6680</v>
      </c>
    </row>
    <row r="1505" spans="1:4" x14ac:dyDescent="0.35">
      <c r="A1505" t="s">
        <v>1185</v>
      </c>
      <c r="B1505" s="8" t="s">
        <v>1187</v>
      </c>
      <c r="C1505" t="s">
        <v>6672</v>
      </c>
      <c r="D1505" s="8" t="s">
        <v>6673</v>
      </c>
    </row>
    <row r="1506" spans="1:4" x14ac:dyDescent="0.35">
      <c r="A1506" t="s">
        <v>1185</v>
      </c>
      <c r="B1506" s="8" t="s">
        <v>1187</v>
      </c>
      <c r="C1506" t="s">
        <v>6705</v>
      </c>
      <c r="D1506" s="8" t="s">
        <v>6706</v>
      </c>
    </row>
    <row r="1507" spans="1:4" x14ac:dyDescent="0.35">
      <c r="A1507" t="s">
        <v>6707</v>
      </c>
      <c r="B1507" s="8" t="s">
        <v>1188</v>
      </c>
      <c r="C1507" t="s">
        <v>6679</v>
      </c>
      <c r="D1507" s="8" t="s">
        <v>6680</v>
      </c>
    </row>
    <row r="1508" spans="1:4" x14ac:dyDescent="0.35">
      <c r="A1508" t="s">
        <v>1189</v>
      </c>
      <c r="B1508" s="8" t="s">
        <v>1190</v>
      </c>
      <c r="C1508" t="s">
        <v>6677</v>
      </c>
      <c r="D1508" s="8" t="s">
        <v>6678</v>
      </c>
    </row>
    <row r="1509" spans="1:4" x14ac:dyDescent="0.35">
      <c r="A1509" t="s">
        <v>1191</v>
      </c>
      <c r="B1509" s="8" t="s">
        <v>1192</v>
      </c>
      <c r="C1509" t="s">
        <v>6708</v>
      </c>
      <c r="D1509" s="8" t="s">
        <v>6709</v>
      </c>
    </row>
    <row r="1510" spans="1:4" x14ac:dyDescent="0.35">
      <c r="A1510" t="s">
        <v>1193</v>
      </c>
      <c r="B1510" s="8" t="s">
        <v>1194</v>
      </c>
      <c r="C1510" t="s">
        <v>6710</v>
      </c>
      <c r="D1510" s="8" t="s">
        <v>6711</v>
      </c>
    </row>
    <row r="1511" spans="1:4" x14ac:dyDescent="0.35">
      <c r="A1511" t="s">
        <v>1195</v>
      </c>
      <c r="B1511" s="8" t="s">
        <v>1196</v>
      </c>
      <c r="C1511" t="s">
        <v>6677</v>
      </c>
      <c r="D1511" s="8" t="s">
        <v>6678</v>
      </c>
    </row>
    <row r="1512" spans="1:4" x14ac:dyDescent="0.35">
      <c r="A1512" t="s">
        <v>1195</v>
      </c>
      <c r="B1512" s="8" t="s">
        <v>1196</v>
      </c>
      <c r="C1512" t="s">
        <v>6708</v>
      </c>
      <c r="D1512" s="8" t="s">
        <v>6709</v>
      </c>
    </row>
    <row r="1513" spans="1:4" x14ac:dyDescent="0.35">
      <c r="A1513" t="s">
        <v>1197</v>
      </c>
      <c r="B1513" s="8" t="s">
        <v>1198</v>
      </c>
      <c r="C1513" t="s">
        <v>6697</v>
      </c>
      <c r="D1513" s="8" t="s">
        <v>6698</v>
      </c>
    </row>
    <row r="1514" spans="1:4" x14ac:dyDescent="0.35">
      <c r="A1514" t="s">
        <v>6712</v>
      </c>
      <c r="B1514" s="8" t="s">
        <v>1199</v>
      </c>
      <c r="C1514" t="s">
        <v>6677</v>
      </c>
      <c r="D1514" s="8" t="s">
        <v>6678</v>
      </c>
    </row>
    <row r="1515" spans="1:4" x14ac:dyDescent="0.35">
      <c r="A1515" t="s">
        <v>6712</v>
      </c>
      <c r="B1515" s="8" t="s">
        <v>1199</v>
      </c>
      <c r="C1515" t="s">
        <v>6713</v>
      </c>
      <c r="D1515" s="8" t="s">
        <v>6714</v>
      </c>
    </row>
    <row r="1516" spans="1:4" x14ac:dyDescent="0.35">
      <c r="A1516" t="s">
        <v>1200</v>
      </c>
      <c r="B1516" s="8" t="s">
        <v>1201</v>
      </c>
      <c r="C1516" t="s">
        <v>6163</v>
      </c>
      <c r="D1516" s="8" t="s">
        <v>6164</v>
      </c>
    </row>
    <row r="1517" spans="1:4" x14ac:dyDescent="0.35">
      <c r="A1517" t="s">
        <v>1202</v>
      </c>
      <c r="B1517" s="8" t="s">
        <v>1203</v>
      </c>
      <c r="C1517" t="s">
        <v>6715</v>
      </c>
      <c r="D1517" s="8" t="s">
        <v>6716</v>
      </c>
    </row>
    <row r="1518" spans="1:4" x14ac:dyDescent="0.35">
      <c r="A1518" t="s">
        <v>1202</v>
      </c>
      <c r="B1518" s="8" t="s">
        <v>1203</v>
      </c>
      <c r="C1518" t="s">
        <v>6615</v>
      </c>
      <c r="D1518" s="8" t="s">
        <v>6616</v>
      </c>
    </row>
    <row r="1519" spans="1:4" x14ac:dyDescent="0.35">
      <c r="A1519" t="s">
        <v>1204</v>
      </c>
      <c r="B1519" s="8" t="s">
        <v>1205</v>
      </c>
      <c r="C1519" t="s">
        <v>6715</v>
      </c>
      <c r="D1519" s="8" t="s">
        <v>6716</v>
      </c>
    </row>
    <row r="1520" spans="1:4" x14ac:dyDescent="0.35">
      <c r="A1520" t="s">
        <v>1204</v>
      </c>
      <c r="B1520" s="8" t="s">
        <v>1205</v>
      </c>
      <c r="C1520" t="s">
        <v>6717</v>
      </c>
      <c r="D1520" s="8" t="s">
        <v>6718</v>
      </c>
    </row>
    <row r="1521" spans="1:4" x14ac:dyDescent="0.35">
      <c r="A1521" t="s">
        <v>1204</v>
      </c>
      <c r="B1521" s="8" t="s">
        <v>1205</v>
      </c>
      <c r="C1521" t="s">
        <v>6719</v>
      </c>
      <c r="D1521" s="8" t="s">
        <v>6720</v>
      </c>
    </row>
    <row r="1522" spans="1:4" x14ac:dyDescent="0.35">
      <c r="A1522" t="s">
        <v>1206</v>
      </c>
      <c r="B1522" s="8" t="s">
        <v>1208</v>
      </c>
      <c r="C1522" t="s">
        <v>6715</v>
      </c>
      <c r="D1522" s="8" t="s">
        <v>6716</v>
      </c>
    </row>
    <row r="1523" spans="1:4" x14ac:dyDescent="0.35">
      <c r="A1523" t="s">
        <v>1206</v>
      </c>
      <c r="B1523" s="8" t="s">
        <v>1208</v>
      </c>
      <c r="C1523" t="s">
        <v>6674</v>
      </c>
      <c r="D1523" s="8" t="s">
        <v>6675</v>
      </c>
    </row>
    <row r="1524" spans="1:4" x14ac:dyDescent="0.35">
      <c r="A1524" t="s">
        <v>1206</v>
      </c>
      <c r="B1524" s="8" t="s">
        <v>1208</v>
      </c>
      <c r="C1524" t="s">
        <v>6717</v>
      </c>
      <c r="D1524" s="8" t="s">
        <v>6718</v>
      </c>
    </row>
    <row r="1525" spans="1:4" x14ac:dyDescent="0.35">
      <c r="A1525" t="s">
        <v>6721</v>
      </c>
      <c r="B1525" s="8" t="s">
        <v>1209</v>
      </c>
      <c r="C1525" t="s">
        <v>6679</v>
      </c>
      <c r="D1525" s="8" t="s">
        <v>6680</v>
      </c>
    </row>
    <row r="1526" spans="1:4" x14ac:dyDescent="0.35">
      <c r="A1526" t="s">
        <v>6721</v>
      </c>
      <c r="B1526" s="8" t="s">
        <v>1209</v>
      </c>
      <c r="C1526" t="s">
        <v>6722</v>
      </c>
      <c r="D1526" s="8" t="s">
        <v>6723</v>
      </c>
    </row>
    <row r="1527" spans="1:4" x14ac:dyDescent="0.35">
      <c r="A1527" t="s">
        <v>6724</v>
      </c>
      <c r="B1527" s="8" t="s">
        <v>1210</v>
      </c>
      <c r="C1527" t="s">
        <v>6679</v>
      </c>
      <c r="D1527" s="8" t="s">
        <v>6680</v>
      </c>
    </row>
    <row r="1528" spans="1:4" x14ac:dyDescent="0.35">
      <c r="A1528" t="s">
        <v>6724</v>
      </c>
      <c r="B1528" s="8" t="s">
        <v>1210</v>
      </c>
      <c r="C1528" t="s">
        <v>6719</v>
      </c>
      <c r="D1528" s="8" t="s">
        <v>6720</v>
      </c>
    </row>
    <row r="1529" spans="1:4" x14ac:dyDescent="0.35">
      <c r="A1529" t="s">
        <v>1211</v>
      </c>
      <c r="B1529" s="8" t="s">
        <v>1212</v>
      </c>
      <c r="C1529" t="s">
        <v>6717</v>
      </c>
      <c r="D1529" s="8" t="s">
        <v>6718</v>
      </c>
    </row>
    <row r="1530" spans="1:4" x14ac:dyDescent="0.35">
      <c r="A1530" t="s">
        <v>1213</v>
      </c>
      <c r="B1530" s="8" t="s">
        <v>1214</v>
      </c>
      <c r="C1530" t="s">
        <v>6679</v>
      </c>
      <c r="D1530" s="8" t="s">
        <v>6680</v>
      </c>
    </row>
    <row r="1531" spans="1:4" x14ac:dyDescent="0.35">
      <c r="A1531" t="s">
        <v>1213</v>
      </c>
      <c r="B1531" s="8" t="s">
        <v>1214</v>
      </c>
      <c r="C1531" t="s">
        <v>6725</v>
      </c>
      <c r="D1531" s="8" t="s">
        <v>6726</v>
      </c>
    </row>
    <row r="1532" spans="1:4" x14ac:dyDescent="0.35">
      <c r="A1532" t="s">
        <v>1213</v>
      </c>
      <c r="B1532" s="8" t="s">
        <v>1214</v>
      </c>
      <c r="C1532" t="s">
        <v>6727</v>
      </c>
      <c r="D1532" s="8" t="s">
        <v>6728</v>
      </c>
    </row>
    <row r="1533" spans="1:4" x14ac:dyDescent="0.35">
      <c r="A1533" t="s">
        <v>1215</v>
      </c>
      <c r="B1533" s="8" t="s">
        <v>1216</v>
      </c>
      <c r="C1533" t="s">
        <v>6725</v>
      </c>
      <c r="D1533" s="8" t="s">
        <v>6726</v>
      </c>
    </row>
    <row r="1534" spans="1:4" x14ac:dyDescent="0.35">
      <c r="A1534" t="s">
        <v>1215</v>
      </c>
      <c r="B1534" s="8" t="s">
        <v>1216</v>
      </c>
      <c r="C1534" t="s">
        <v>6729</v>
      </c>
      <c r="D1534" s="8" t="s">
        <v>6730</v>
      </c>
    </row>
    <row r="1535" spans="1:4" x14ac:dyDescent="0.35">
      <c r="A1535" t="s">
        <v>1217</v>
      </c>
      <c r="B1535" s="8" t="s">
        <v>1218</v>
      </c>
      <c r="C1535" t="s">
        <v>6725</v>
      </c>
      <c r="D1535" s="8" t="s">
        <v>6726</v>
      </c>
    </row>
    <row r="1536" spans="1:4" x14ac:dyDescent="0.35">
      <c r="A1536" t="s">
        <v>1219</v>
      </c>
      <c r="B1536" s="8" t="s">
        <v>1220</v>
      </c>
      <c r="C1536" t="s">
        <v>6731</v>
      </c>
      <c r="D1536" s="8" t="s">
        <v>6732</v>
      </c>
    </row>
    <row r="1537" spans="1:4" x14ac:dyDescent="0.35">
      <c r="A1537" t="s">
        <v>1219</v>
      </c>
      <c r="B1537" s="8" t="s">
        <v>1220</v>
      </c>
      <c r="C1537" t="s">
        <v>6650</v>
      </c>
      <c r="D1537" s="8" t="s">
        <v>6651</v>
      </c>
    </row>
    <row r="1538" spans="1:4" x14ac:dyDescent="0.35">
      <c r="A1538" t="s">
        <v>1219</v>
      </c>
      <c r="B1538" s="8" t="s">
        <v>1220</v>
      </c>
      <c r="C1538" t="s">
        <v>6670</v>
      </c>
      <c r="D1538" s="8" t="s">
        <v>6671</v>
      </c>
    </row>
    <row r="1539" spans="1:4" x14ac:dyDescent="0.35">
      <c r="A1539" t="s">
        <v>1221</v>
      </c>
      <c r="B1539" s="8" t="s">
        <v>1222</v>
      </c>
      <c r="C1539" t="s">
        <v>6662</v>
      </c>
      <c r="D1539" s="8" t="s">
        <v>6663</v>
      </c>
    </row>
    <row r="1540" spans="1:4" x14ac:dyDescent="0.35">
      <c r="A1540" t="s">
        <v>1221</v>
      </c>
      <c r="B1540" s="8" t="s">
        <v>1222</v>
      </c>
      <c r="C1540" t="s">
        <v>6664</v>
      </c>
      <c r="D1540" s="8" t="s">
        <v>6665</v>
      </c>
    </row>
    <row r="1541" spans="1:4" x14ac:dyDescent="0.35">
      <c r="A1541" t="s">
        <v>1221</v>
      </c>
      <c r="B1541" s="8" t="s">
        <v>1222</v>
      </c>
      <c r="C1541" t="s">
        <v>6733</v>
      </c>
      <c r="D1541" s="8" t="s">
        <v>6734</v>
      </c>
    </row>
    <row r="1542" spans="1:4" x14ac:dyDescent="0.35">
      <c r="A1542" t="s">
        <v>1221</v>
      </c>
      <c r="B1542" s="8" t="s">
        <v>1222</v>
      </c>
      <c r="C1542" t="s">
        <v>6735</v>
      </c>
      <c r="D1542" s="8" t="s">
        <v>6736</v>
      </c>
    </row>
    <row r="1543" spans="1:4" x14ac:dyDescent="0.35">
      <c r="A1543" t="s">
        <v>1223</v>
      </c>
      <c r="B1543" s="8" t="s">
        <v>1224</v>
      </c>
      <c r="C1543" t="s">
        <v>6717</v>
      </c>
      <c r="D1543" s="8" t="s">
        <v>6718</v>
      </c>
    </row>
    <row r="1544" spans="1:4" x14ac:dyDescent="0.35">
      <c r="A1544" t="s">
        <v>1223</v>
      </c>
      <c r="B1544" s="8" t="s">
        <v>1224</v>
      </c>
      <c r="C1544" t="s">
        <v>6679</v>
      </c>
      <c r="D1544" s="8" t="s">
        <v>6680</v>
      </c>
    </row>
    <row r="1545" spans="1:4" x14ac:dyDescent="0.35">
      <c r="A1545" t="s">
        <v>1225</v>
      </c>
      <c r="B1545" s="8" t="s">
        <v>1227</v>
      </c>
      <c r="C1545" t="s">
        <v>6163</v>
      </c>
      <c r="D1545" s="8" t="s">
        <v>6164</v>
      </c>
    </row>
    <row r="1546" spans="1:4" x14ac:dyDescent="0.35">
      <c r="A1546" t="s">
        <v>1228</v>
      </c>
      <c r="B1546" s="8" t="s">
        <v>1229</v>
      </c>
      <c r="C1546" t="s">
        <v>6408</v>
      </c>
      <c r="D1546" s="8" t="s">
        <v>6409</v>
      </c>
    </row>
    <row r="1547" spans="1:4" x14ac:dyDescent="0.35">
      <c r="A1547" t="s">
        <v>1228</v>
      </c>
      <c r="B1547" s="8" t="s">
        <v>1229</v>
      </c>
      <c r="C1547" t="s">
        <v>6672</v>
      </c>
      <c r="D1547" s="8" t="s">
        <v>6673</v>
      </c>
    </row>
    <row r="1548" spans="1:4" x14ac:dyDescent="0.35">
      <c r="A1548" t="s">
        <v>1228</v>
      </c>
      <c r="B1548" s="8" t="s">
        <v>1229</v>
      </c>
      <c r="C1548" t="s">
        <v>6679</v>
      </c>
      <c r="D1548" s="8" t="s">
        <v>6680</v>
      </c>
    </row>
    <row r="1549" spans="1:4" x14ac:dyDescent="0.35">
      <c r="A1549" t="s">
        <v>1230</v>
      </c>
      <c r="B1549" s="8" t="s">
        <v>1232</v>
      </c>
      <c r="C1549" t="s">
        <v>6408</v>
      </c>
      <c r="D1549" s="8" t="s">
        <v>6409</v>
      </c>
    </row>
    <row r="1550" spans="1:4" x14ac:dyDescent="0.35">
      <c r="A1550" t="s">
        <v>1230</v>
      </c>
      <c r="B1550" s="8" t="s">
        <v>1232</v>
      </c>
      <c r="C1550" t="s">
        <v>6672</v>
      </c>
      <c r="D1550" s="8" t="s">
        <v>6673</v>
      </c>
    </row>
    <row r="1551" spans="1:4" x14ac:dyDescent="0.35">
      <c r="A1551" t="s">
        <v>1230</v>
      </c>
      <c r="B1551" s="8" t="s">
        <v>1232</v>
      </c>
      <c r="C1551" t="s">
        <v>6679</v>
      </c>
      <c r="D1551" s="8" t="s">
        <v>6680</v>
      </c>
    </row>
    <row r="1552" spans="1:4" x14ac:dyDescent="0.35">
      <c r="A1552" t="s">
        <v>1233</v>
      </c>
      <c r="B1552" s="8" t="s">
        <v>1234</v>
      </c>
      <c r="C1552" t="s">
        <v>6679</v>
      </c>
      <c r="D1552" s="8" t="s">
        <v>6680</v>
      </c>
    </row>
    <row r="1553" spans="1:4" x14ac:dyDescent="0.35">
      <c r="A1553" t="s">
        <v>1235</v>
      </c>
      <c r="B1553" s="8" t="s">
        <v>1236</v>
      </c>
      <c r="C1553" t="s">
        <v>6423</v>
      </c>
      <c r="D1553" s="8" t="s">
        <v>6424</v>
      </c>
    </row>
    <row r="1554" spans="1:4" x14ac:dyDescent="0.35">
      <c r="A1554" t="s">
        <v>1235</v>
      </c>
      <c r="B1554" s="8" t="s">
        <v>1236</v>
      </c>
      <c r="C1554" t="s">
        <v>6414</v>
      </c>
      <c r="D1554" s="8" t="s">
        <v>6415</v>
      </c>
    </row>
    <row r="1555" spans="1:4" x14ac:dyDescent="0.35">
      <c r="A1555" t="s">
        <v>1235</v>
      </c>
      <c r="B1555" s="8" t="s">
        <v>1236</v>
      </c>
      <c r="C1555" t="s">
        <v>6408</v>
      </c>
      <c r="D1555" s="8" t="s">
        <v>6409</v>
      </c>
    </row>
    <row r="1556" spans="1:4" x14ac:dyDescent="0.35">
      <c r="A1556" t="s">
        <v>1235</v>
      </c>
      <c r="B1556" s="8" t="s">
        <v>1236</v>
      </c>
      <c r="C1556" t="s">
        <v>6679</v>
      </c>
      <c r="D1556" s="8" t="s">
        <v>6680</v>
      </c>
    </row>
    <row r="1557" spans="1:4" x14ac:dyDescent="0.35">
      <c r="A1557" t="s">
        <v>1237</v>
      </c>
      <c r="B1557" s="8" t="s">
        <v>1238</v>
      </c>
      <c r="C1557" t="s">
        <v>6679</v>
      </c>
      <c r="D1557" s="8" t="s">
        <v>6680</v>
      </c>
    </row>
    <row r="1558" spans="1:4" x14ac:dyDescent="0.35">
      <c r="A1558" t="s">
        <v>1239</v>
      </c>
      <c r="B1558" s="8" t="s">
        <v>1240</v>
      </c>
      <c r="C1558" t="s">
        <v>6300</v>
      </c>
      <c r="D1558" s="8" t="s">
        <v>6301</v>
      </c>
    </row>
    <row r="1559" spans="1:4" x14ac:dyDescent="0.35">
      <c r="A1559" t="s">
        <v>1239</v>
      </c>
      <c r="B1559" s="8" t="s">
        <v>1240</v>
      </c>
      <c r="C1559" t="s">
        <v>6683</v>
      </c>
      <c r="D1559" s="8" t="s">
        <v>6684</v>
      </c>
    </row>
    <row r="1560" spans="1:4" x14ac:dyDescent="0.35">
      <c r="A1560" t="s">
        <v>1239</v>
      </c>
      <c r="B1560" s="8" t="s">
        <v>1240</v>
      </c>
      <c r="C1560" t="s">
        <v>6715</v>
      </c>
      <c r="D1560" s="8" t="s">
        <v>6716</v>
      </c>
    </row>
    <row r="1561" spans="1:4" x14ac:dyDescent="0.35">
      <c r="A1561" t="s">
        <v>1239</v>
      </c>
      <c r="B1561" s="8" t="s">
        <v>1240</v>
      </c>
      <c r="C1561" t="s">
        <v>6733</v>
      </c>
      <c r="D1561" s="8" t="s">
        <v>6734</v>
      </c>
    </row>
    <row r="1562" spans="1:4" x14ac:dyDescent="0.35">
      <c r="A1562" t="s">
        <v>1241</v>
      </c>
      <c r="B1562" s="8" t="s">
        <v>1242</v>
      </c>
      <c r="C1562" t="s">
        <v>6300</v>
      </c>
      <c r="D1562" s="8" t="s">
        <v>6301</v>
      </c>
    </row>
    <row r="1563" spans="1:4" x14ac:dyDescent="0.35">
      <c r="A1563" t="s">
        <v>1241</v>
      </c>
      <c r="B1563" s="8" t="s">
        <v>1242</v>
      </c>
      <c r="C1563" t="s">
        <v>6683</v>
      </c>
      <c r="D1563" s="8" t="s">
        <v>6684</v>
      </c>
    </row>
    <row r="1564" spans="1:4" x14ac:dyDescent="0.35">
      <c r="A1564" t="s">
        <v>1241</v>
      </c>
      <c r="B1564" s="8" t="s">
        <v>1242</v>
      </c>
      <c r="C1564" t="s">
        <v>6715</v>
      </c>
      <c r="D1564" s="8" t="s">
        <v>6716</v>
      </c>
    </row>
    <row r="1565" spans="1:4" x14ac:dyDescent="0.35">
      <c r="A1565" t="s">
        <v>1241</v>
      </c>
      <c r="B1565" s="8" t="s">
        <v>1242</v>
      </c>
      <c r="C1565" t="s">
        <v>6733</v>
      </c>
      <c r="D1565" s="8" t="s">
        <v>6734</v>
      </c>
    </row>
    <row r="1566" spans="1:4" x14ac:dyDescent="0.35">
      <c r="A1566" t="s">
        <v>1243</v>
      </c>
      <c r="B1566" s="8" t="s">
        <v>1244</v>
      </c>
      <c r="C1566" t="s">
        <v>6300</v>
      </c>
      <c r="D1566" s="8" t="s">
        <v>6301</v>
      </c>
    </row>
    <row r="1567" spans="1:4" x14ac:dyDescent="0.35">
      <c r="A1567" t="s">
        <v>1245</v>
      </c>
      <c r="B1567" s="8" t="s">
        <v>1246</v>
      </c>
      <c r="C1567" t="s">
        <v>6300</v>
      </c>
      <c r="D1567" s="8" t="s">
        <v>6301</v>
      </c>
    </row>
    <row r="1568" spans="1:4" x14ac:dyDescent="0.35">
      <c r="A1568" t="s">
        <v>1247</v>
      </c>
      <c r="B1568" s="8" t="s">
        <v>1248</v>
      </c>
      <c r="C1568" t="s">
        <v>6683</v>
      </c>
      <c r="D1568" s="8" t="s">
        <v>6684</v>
      </c>
    </row>
    <row r="1569" spans="1:4" x14ac:dyDescent="0.35">
      <c r="A1569" t="s">
        <v>1249</v>
      </c>
      <c r="B1569" s="8" t="s">
        <v>1250</v>
      </c>
      <c r="C1569" t="s">
        <v>6715</v>
      </c>
      <c r="D1569" s="8" t="s">
        <v>6716</v>
      </c>
    </row>
    <row r="1570" spans="1:4" x14ac:dyDescent="0.35">
      <c r="A1570" t="s">
        <v>6737</v>
      </c>
      <c r="B1570" s="8" t="s">
        <v>1251</v>
      </c>
      <c r="C1570" t="s">
        <v>6300</v>
      </c>
      <c r="D1570" s="8" t="s">
        <v>6301</v>
      </c>
    </row>
    <row r="1571" spans="1:4" x14ac:dyDescent="0.35">
      <c r="A1571" t="s">
        <v>6737</v>
      </c>
      <c r="B1571" s="8" t="s">
        <v>1251</v>
      </c>
      <c r="C1571" t="s">
        <v>6683</v>
      </c>
      <c r="D1571" s="8" t="s">
        <v>6684</v>
      </c>
    </row>
    <row r="1572" spans="1:4" x14ac:dyDescent="0.35">
      <c r="A1572" t="s">
        <v>6737</v>
      </c>
      <c r="B1572" s="8" t="s">
        <v>1251</v>
      </c>
      <c r="C1572" t="s">
        <v>6715</v>
      </c>
      <c r="D1572" s="8" t="s">
        <v>6716</v>
      </c>
    </row>
    <row r="1573" spans="1:4" x14ac:dyDescent="0.35">
      <c r="A1573" t="s">
        <v>6737</v>
      </c>
      <c r="B1573" s="8" t="s">
        <v>1251</v>
      </c>
      <c r="C1573" t="s">
        <v>6733</v>
      </c>
      <c r="D1573" s="8" t="s">
        <v>6734</v>
      </c>
    </row>
    <row r="1574" spans="1:4" x14ac:dyDescent="0.35">
      <c r="A1574" t="s">
        <v>1252</v>
      </c>
      <c r="B1574" s="8" t="s">
        <v>1253</v>
      </c>
      <c r="C1574" t="s">
        <v>6733</v>
      </c>
      <c r="D1574" s="8" t="s">
        <v>6734</v>
      </c>
    </row>
    <row r="1575" spans="1:4" x14ac:dyDescent="0.35">
      <c r="A1575" t="s">
        <v>1254</v>
      </c>
      <c r="B1575" s="8" t="s">
        <v>1255</v>
      </c>
      <c r="C1575" t="s">
        <v>6679</v>
      </c>
      <c r="D1575" s="8" t="s">
        <v>6680</v>
      </c>
    </row>
    <row r="1576" spans="1:4" x14ac:dyDescent="0.35">
      <c r="A1576" t="s">
        <v>1254</v>
      </c>
      <c r="B1576" s="8" t="s">
        <v>1255</v>
      </c>
      <c r="C1576" t="s">
        <v>6738</v>
      </c>
      <c r="D1576" s="8" t="s">
        <v>6739</v>
      </c>
    </row>
    <row r="1577" spans="1:4" x14ac:dyDescent="0.35">
      <c r="A1577" t="s">
        <v>1256</v>
      </c>
      <c r="B1577" s="8" t="s">
        <v>1257</v>
      </c>
      <c r="C1577" t="s">
        <v>6740</v>
      </c>
      <c r="D1577" s="8" t="s">
        <v>6741</v>
      </c>
    </row>
    <row r="1578" spans="1:4" x14ac:dyDescent="0.35">
      <c r="A1578" t="s">
        <v>1256</v>
      </c>
      <c r="B1578" s="8" t="s">
        <v>1257</v>
      </c>
      <c r="C1578" t="s">
        <v>6658</v>
      </c>
      <c r="D1578" s="8" t="s">
        <v>6659</v>
      </c>
    </row>
    <row r="1579" spans="1:4" x14ac:dyDescent="0.35">
      <c r="A1579" t="s">
        <v>1256</v>
      </c>
      <c r="B1579" s="8" t="s">
        <v>1257</v>
      </c>
      <c r="C1579" t="s">
        <v>6276</v>
      </c>
      <c r="D1579" s="8" t="s">
        <v>6277</v>
      </c>
    </row>
    <row r="1580" spans="1:4" x14ac:dyDescent="0.35">
      <c r="A1580" t="s">
        <v>1256</v>
      </c>
      <c r="B1580" s="8" t="s">
        <v>1257</v>
      </c>
      <c r="C1580" t="s">
        <v>6656</v>
      </c>
      <c r="D1580" s="8" t="s">
        <v>6657</v>
      </c>
    </row>
    <row r="1581" spans="1:4" x14ac:dyDescent="0.35">
      <c r="A1581" t="s">
        <v>1256</v>
      </c>
      <c r="B1581" s="8" t="s">
        <v>1257</v>
      </c>
      <c r="C1581" t="s">
        <v>6677</v>
      </c>
      <c r="D1581" s="8" t="s">
        <v>6678</v>
      </c>
    </row>
    <row r="1582" spans="1:4" x14ac:dyDescent="0.35">
      <c r="A1582" t="s">
        <v>1258</v>
      </c>
      <c r="B1582" s="8" t="s">
        <v>1259</v>
      </c>
      <c r="C1582" t="s">
        <v>6276</v>
      </c>
      <c r="D1582" s="8" t="s">
        <v>6277</v>
      </c>
    </row>
    <row r="1583" spans="1:4" x14ac:dyDescent="0.35">
      <c r="A1583" t="s">
        <v>1258</v>
      </c>
      <c r="B1583" s="8" t="s">
        <v>1259</v>
      </c>
      <c r="C1583" t="s">
        <v>6607</v>
      </c>
      <c r="D1583" s="8" t="s">
        <v>6608</v>
      </c>
    </row>
    <row r="1584" spans="1:4" x14ac:dyDescent="0.35">
      <c r="A1584" t="s">
        <v>1258</v>
      </c>
      <c r="B1584" s="8" t="s">
        <v>1259</v>
      </c>
      <c r="C1584" t="s">
        <v>6609</v>
      </c>
      <c r="D1584" s="8" t="s">
        <v>6610</v>
      </c>
    </row>
    <row r="1585" spans="1:4" x14ac:dyDescent="0.35">
      <c r="A1585" t="s">
        <v>1260</v>
      </c>
      <c r="B1585" s="8" t="s">
        <v>1261</v>
      </c>
      <c r="C1585" t="s">
        <v>6276</v>
      </c>
      <c r="D1585" s="8" t="s">
        <v>6277</v>
      </c>
    </row>
    <row r="1586" spans="1:4" x14ac:dyDescent="0.35">
      <c r="A1586" t="s">
        <v>1260</v>
      </c>
      <c r="B1586" s="8" t="s">
        <v>1261</v>
      </c>
      <c r="C1586" t="s">
        <v>6656</v>
      </c>
      <c r="D1586" s="8" t="s">
        <v>6657</v>
      </c>
    </row>
    <row r="1587" spans="1:4" x14ac:dyDescent="0.35">
      <c r="A1587" t="s">
        <v>1260</v>
      </c>
      <c r="B1587" s="8" t="s">
        <v>1261</v>
      </c>
      <c r="C1587" t="s">
        <v>6677</v>
      </c>
      <c r="D1587" s="8" t="s">
        <v>6678</v>
      </c>
    </row>
    <row r="1588" spans="1:4" x14ac:dyDescent="0.35">
      <c r="A1588" t="s">
        <v>1260</v>
      </c>
      <c r="B1588" s="8" t="s">
        <v>1261</v>
      </c>
      <c r="C1588" t="s">
        <v>6679</v>
      </c>
      <c r="D1588" s="8" t="s">
        <v>6680</v>
      </c>
    </row>
    <row r="1589" spans="1:4" x14ac:dyDescent="0.35">
      <c r="A1589" t="s">
        <v>1260</v>
      </c>
      <c r="B1589" s="8" t="s">
        <v>1261</v>
      </c>
      <c r="C1589" t="s">
        <v>6609</v>
      </c>
      <c r="D1589" s="8" t="s">
        <v>6610</v>
      </c>
    </row>
    <row r="1590" spans="1:4" x14ac:dyDescent="0.35">
      <c r="A1590" t="s">
        <v>1260</v>
      </c>
      <c r="B1590" s="8" t="s">
        <v>1261</v>
      </c>
      <c r="C1590" t="s">
        <v>6483</v>
      </c>
      <c r="D1590" s="8" t="s">
        <v>6484</v>
      </c>
    </row>
    <row r="1591" spans="1:4" x14ac:dyDescent="0.35">
      <c r="A1591" t="s">
        <v>1260</v>
      </c>
      <c r="B1591" s="8" t="s">
        <v>1261</v>
      </c>
      <c r="C1591" t="s">
        <v>6742</v>
      </c>
      <c r="D1591" s="8" t="s">
        <v>6743</v>
      </c>
    </row>
    <row r="1592" spans="1:4" x14ac:dyDescent="0.35">
      <c r="A1592" t="s">
        <v>1262</v>
      </c>
      <c r="B1592" s="8" t="s">
        <v>1263</v>
      </c>
      <c r="C1592" t="s">
        <v>6163</v>
      </c>
      <c r="D1592" s="8" t="s">
        <v>6164</v>
      </c>
    </row>
    <row r="1593" spans="1:4" x14ac:dyDescent="0.35">
      <c r="A1593" t="s">
        <v>1264</v>
      </c>
      <c r="B1593" s="8" t="s">
        <v>1265</v>
      </c>
      <c r="C1593" t="s">
        <v>6607</v>
      </c>
      <c r="D1593" s="8" t="s">
        <v>6608</v>
      </c>
    </row>
    <row r="1594" spans="1:4" x14ac:dyDescent="0.35">
      <c r="A1594" t="s">
        <v>6744</v>
      </c>
      <c r="B1594" s="8" t="s">
        <v>1161</v>
      </c>
      <c r="C1594" t="s">
        <v>6679</v>
      </c>
      <c r="D1594" s="8" t="s">
        <v>6680</v>
      </c>
    </row>
    <row r="1595" spans="1:4" x14ac:dyDescent="0.35">
      <c r="A1595" t="s">
        <v>6744</v>
      </c>
      <c r="B1595" s="8" t="s">
        <v>1161</v>
      </c>
      <c r="C1595" t="s">
        <v>6742</v>
      </c>
      <c r="D1595" s="8" t="s">
        <v>6743</v>
      </c>
    </row>
    <row r="1596" spans="1:4" x14ac:dyDescent="0.35">
      <c r="A1596" t="s">
        <v>6745</v>
      </c>
      <c r="B1596" s="8" t="s">
        <v>1266</v>
      </c>
      <c r="C1596" t="s">
        <v>6679</v>
      </c>
      <c r="D1596" s="8" t="s">
        <v>6680</v>
      </c>
    </row>
    <row r="1597" spans="1:4" x14ac:dyDescent="0.35">
      <c r="A1597" t="s">
        <v>6745</v>
      </c>
      <c r="B1597" s="8" t="s">
        <v>1266</v>
      </c>
      <c r="C1597" t="s">
        <v>6687</v>
      </c>
      <c r="D1597" s="8" t="s">
        <v>6688</v>
      </c>
    </row>
    <row r="1598" spans="1:4" x14ac:dyDescent="0.35">
      <c r="A1598" t="s">
        <v>6745</v>
      </c>
      <c r="B1598" s="8" t="s">
        <v>1266</v>
      </c>
      <c r="C1598" t="s">
        <v>6746</v>
      </c>
      <c r="D1598" s="8" t="s">
        <v>6747</v>
      </c>
    </row>
    <row r="1599" spans="1:4" x14ac:dyDescent="0.35">
      <c r="A1599" t="s">
        <v>6748</v>
      </c>
      <c r="B1599" s="8" t="s">
        <v>1163</v>
      </c>
      <c r="C1599" t="s">
        <v>6679</v>
      </c>
      <c r="D1599" s="8" t="s">
        <v>6680</v>
      </c>
    </row>
    <row r="1600" spans="1:4" x14ac:dyDescent="0.35">
      <c r="A1600" t="s">
        <v>6748</v>
      </c>
      <c r="B1600" s="8" t="s">
        <v>1163</v>
      </c>
      <c r="C1600" t="s">
        <v>6749</v>
      </c>
      <c r="D1600" s="8" t="s">
        <v>6750</v>
      </c>
    </row>
    <row r="1601" spans="1:4" x14ac:dyDescent="0.35">
      <c r="A1601" t="s">
        <v>6751</v>
      </c>
      <c r="B1601" s="8" t="s">
        <v>1267</v>
      </c>
      <c r="C1601" t="s">
        <v>6679</v>
      </c>
      <c r="D1601" s="8" t="s">
        <v>6680</v>
      </c>
    </row>
    <row r="1602" spans="1:4" x14ac:dyDescent="0.35">
      <c r="A1602" t="s">
        <v>6751</v>
      </c>
      <c r="B1602" s="8" t="s">
        <v>1267</v>
      </c>
      <c r="C1602" t="s">
        <v>6752</v>
      </c>
      <c r="D1602" s="8" t="s">
        <v>6753</v>
      </c>
    </row>
    <row r="1603" spans="1:4" x14ac:dyDescent="0.35">
      <c r="A1603" t="s">
        <v>6754</v>
      </c>
      <c r="B1603" s="8" t="s">
        <v>1268</v>
      </c>
      <c r="C1603" t="s">
        <v>6679</v>
      </c>
      <c r="D1603" s="8" t="s">
        <v>6680</v>
      </c>
    </row>
    <row r="1604" spans="1:4" x14ac:dyDescent="0.35">
      <c r="A1604" t="s">
        <v>6754</v>
      </c>
      <c r="B1604" s="8" t="s">
        <v>1268</v>
      </c>
      <c r="C1604" t="s">
        <v>6746</v>
      </c>
      <c r="D1604" s="8" t="s">
        <v>6747</v>
      </c>
    </row>
    <row r="1605" spans="1:4" x14ac:dyDescent="0.35">
      <c r="A1605" t="s">
        <v>6755</v>
      </c>
      <c r="B1605" s="8" t="s">
        <v>1269</v>
      </c>
      <c r="C1605" t="s">
        <v>6679</v>
      </c>
      <c r="D1605" s="8" t="s">
        <v>6680</v>
      </c>
    </row>
    <row r="1606" spans="1:4" x14ac:dyDescent="0.35">
      <c r="A1606" t="s">
        <v>6756</v>
      </c>
      <c r="B1606" s="8" t="s">
        <v>1270</v>
      </c>
      <c r="C1606" t="s">
        <v>6679</v>
      </c>
      <c r="D1606" s="8" t="s">
        <v>6680</v>
      </c>
    </row>
    <row r="1607" spans="1:4" x14ac:dyDescent="0.35">
      <c r="A1607" t="s">
        <v>1271</v>
      </c>
      <c r="B1607" s="8" t="s">
        <v>1273</v>
      </c>
      <c r="C1607" t="s">
        <v>6163</v>
      </c>
      <c r="D1607" s="8" t="s">
        <v>6164</v>
      </c>
    </row>
    <row r="1608" spans="1:4" x14ac:dyDescent="0.35">
      <c r="A1608" t="s">
        <v>1274</v>
      </c>
      <c r="B1608" s="8" t="s">
        <v>1275</v>
      </c>
      <c r="C1608" t="s">
        <v>6576</v>
      </c>
      <c r="D1608" s="8" t="s">
        <v>6577</v>
      </c>
    </row>
    <row r="1609" spans="1:4" x14ac:dyDescent="0.35">
      <c r="A1609" t="s">
        <v>1274</v>
      </c>
      <c r="B1609" s="8" t="s">
        <v>1275</v>
      </c>
      <c r="C1609" t="s">
        <v>6514</v>
      </c>
      <c r="D1609" s="8" t="s">
        <v>6515</v>
      </c>
    </row>
    <row r="1610" spans="1:4" x14ac:dyDescent="0.35">
      <c r="A1610" t="s">
        <v>1274</v>
      </c>
      <c r="B1610" s="8" t="s">
        <v>1275</v>
      </c>
      <c r="C1610" t="s">
        <v>6315</v>
      </c>
      <c r="D1610" s="8" t="s">
        <v>6316</v>
      </c>
    </row>
    <row r="1611" spans="1:4" x14ac:dyDescent="0.35">
      <c r="A1611" t="s">
        <v>1276</v>
      </c>
      <c r="B1611" s="8" t="s">
        <v>1277</v>
      </c>
      <c r="C1611" t="s">
        <v>6576</v>
      </c>
      <c r="D1611" s="8" t="s">
        <v>6577</v>
      </c>
    </row>
    <row r="1612" spans="1:4" x14ac:dyDescent="0.35">
      <c r="A1612" t="s">
        <v>1276</v>
      </c>
      <c r="B1612" s="8" t="s">
        <v>1277</v>
      </c>
      <c r="C1612" t="s">
        <v>6315</v>
      </c>
      <c r="D1612" s="8" t="s">
        <v>6316</v>
      </c>
    </row>
    <row r="1613" spans="1:4" x14ac:dyDescent="0.35">
      <c r="A1613" t="s">
        <v>1278</v>
      </c>
      <c r="B1613" s="8" t="s">
        <v>1279</v>
      </c>
      <c r="C1613" t="s">
        <v>6576</v>
      </c>
      <c r="D1613" s="8" t="s">
        <v>6577</v>
      </c>
    </row>
    <row r="1614" spans="1:4" x14ac:dyDescent="0.35">
      <c r="A1614" t="s">
        <v>1278</v>
      </c>
      <c r="B1614" s="8" t="s">
        <v>1279</v>
      </c>
      <c r="C1614" t="s">
        <v>6315</v>
      </c>
      <c r="D1614" s="8" t="s">
        <v>6316</v>
      </c>
    </row>
    <row r="1615" spans="1:4" x14ac:dyDescent="0.35">
      <c r="A1615" t="s">
        <v>1280</v>
      </c>
      <c r="B1615" s="8" t="s">
        <v>1281</v>
      </c>
      <c r="C1615" t="s">
        <v>6574</v>
      </c>
      <c r="D1615" s="8" t="s">
        <v>6575</v>
      </c>
    </row>
    <row r="1616" spans="1:4" x14ac:dyDescent="0.35">
      <c r="A1616" t="s">
        <v>1282</v>
      </c>
      <c r="B1616" s="8" t="s">
        <v>1283</v>
      </c>
      <c r="C1616" t="s">
        <v>6576</v>
      </c>
      <c r="D1616" s="8" t="s">
        <v>6577</v>
      </c>
    </row>
    <row r="1617" spans="1:4" x14ac:dyDescent="0.35">
      <c r="A1617" t="s">
        <v>1282</v>
      </c>
      <c r="B1617" s="8" t="s">
        <v>1283</v>
      </c>
      <c r="C1617" t="s">
        <v>6315</v>
      </c>
      <c r="D1617" s="8" t="s">
        <v>6316</v>
      </c>
    </row>
    <row r="1618" spans="1:4" x14ac:dyDescent="0.35">
      <c r="A1618" t="s">
        <v>1284</v>
      </c>
      <c r="B1618" s="8" t="s">
        <v>1285</v>
      </c>
      <c r="C1618" t="s">
        <v>6268</v>
      </c>
      <c r="D1618" s="8" t="s">
        <v>6269</v>
      </c>
    </row>
    <row r="1619" spans="1:4" x14ac:dyDescent="0.35">
      <c r="A1619" t="s">
        <v>1286</v>
      </c>
      <c r="B1619" s="8" t="s">
        <v>1287</v>
      </c>
      <c r="C1619" t="s">
        <v>6576</v>
      </c>
      <c r="D1619" s="8" t="s">
        <v>6577</v>
      </c>
    </row>
    <row r="1620" spans="1:4" x14ac:dyDescent="0.35">
      <c r="A1620" t="s">
        <v>1286</v>
      </c>
      <c r="B1620" s="8" t="s">
        <v>1287</v>
      </c>
      <c r="C1620" t="s">
        <v>6315</v>
      </c>
      <c r="D1620" s="8" t="s">
        <v>6316</v>
      </c>
    </row>
    <row r="1621" spans="1:4" x14ac:dyDescent="0.35">
      <c r="A1621" t="s">
        <v>1288</v>
      </c>
      <c r="B1621" s="8" t="s">
        <v>1289</v>
      </c>
      <c r="C1621" t="s">
        <v>6576</v>
      </c>
      <c r="D1621" s="8" t="s">
        <v>6577</v>
      </c>
    </row>
    <row r="1622" spans="1:4" x14ac:dyDescent="0.35">
      <c r="A1622" t="s">
        <v>1288</v>
      </c>
      <c r="B1622" s="8" t="s">
        <v>1289</v>
      </c>
      <c r="C1622" t="s">
        <v>6514</v>
      </c>
      <c r="D1622" s="8" t="s">
        <v>6515</v>
      </c>
    </row>
    <row r="1623" spans="1:4" x14ac:dyDescent="0.35">
      <c r="A1623" t="s">
        <v>1288</v>
      </c>
      <c r="B1623" s="8" t="s">
        <v>1289</v>
      </c>
      <c r="C1623" t="s">
        <v>6315</v>
      </c>
      <c r="D1623" s="8" t="s">
        <v>6316</v>
      </c>
    </row>
    <row r="1624" spans="1:4" x14ac:dyDescent="0.35">
      <c r="A1624" t="s">
        <v>1290</v>
      </c>
      <c r="B1624" s="8" t="s">
        <v>1291</v>
      </c>
      <c r="C1624" t="s">
        <v>6576</v>
      </c>
      <c r="D1624" s="8" t="s">
        <v>6577</v>
      </c>
    </row>
    <row r="1625" spans="1:4" x14ac:dyDescent="0.35">
      <c r="A1625" t="s">
        <v>1290</v>
      </c>
      <c r="B1625" s="8" t="s">
        <v>1291</v>
      </c>
      <c r="C1625" t="s">
        <v>6514</v>
      </c>
      <c r="D1625" s="8" t="s">
        <v>6515</v>
      </c>
    </row>
    <row r="1626" spans="1:4" x14ac:dyDescent="0.35">
      <c r="A1626" t="s">
        <v>1290</v>
      </c>
      <c r="B1626" s="8" t="s">
        <v>1291</v>
      </c>
      <c r="C1626" t="s">
        <v>6315</v>
      </c>
      <c r="D1626" s="8" t="s">
        <v>6316</v>
      </c>
    </row>
    <row r="1627" spans="1:4" x14ac:dyDescent="0.35">
      <c r="A1627" t="s">
        <v>1292</v>
      </c>
      <c r="B1627" s="8" t="s">
        <v>1293</v>
      </c>
      <c r="C1627" t="s">
        <v>6576</v>
      </c>
      <c r="D1627" s="8" t="s">
        <v>6577</v>
      </c>
    </row>
    <row r="1628" spans="1:4" x14ac:dyDescent="0.35">
      <c r="A1628" t="s">
        <v>1292</v>
      </c>
      <c r="B1628" s="8" t="s">
        <v>1293</v>
      </c>
      <c r="C1628" t="s">
        <v>6514</v>
      </c>
      <c r="D1628" s="8" t="s">
        <v>6515</v>
      </c>
    </row>
    <row r="1629" spans="1:4" x14ac:dyDescent="0.35">
      <c r="A1629" t="s">
        <v>1292</v>
      </c>
      <c r="B1629" s="8" t="s">
        <v>1293</v>
      </c>
      <c r="C1629" t="s">
        <v>6315</v>
      </c>
      <c r="D1629" s="8" t="s">
        <v>6316</v>
      </c>
    </row>
    <row r="1630" spans="1:4" x14ac:dyDescent="0.35">
      <c r="A1630" t="s">
        <v>1294</v>
      </c>
      <c r="B1630" s="8" t="s">
        <v>1295</v>
      </c>
      <c r="C1630" t="s">
        <v>6576</v>
      </c>
      <c r="D1630" s="8" t="s">
        <v>6577</v>
      </c>
    </row>
    <row r="1631" spans="1:4" x14ac:dyDescent="0.35">
      <c r="A1631" t="s">
        <v>1294</v>
      </c>
      <c r="B1631" s="8" t="s">
        <v>1295</v>
      </c>
      <c r="C1631" t="s">
        <v>6514</v>
      </c>
      <c r="D1631" s="8" t="s">
        <v>6515</v>
      </c>
    </row>
    <row r="1632" spans="1:4" x14ac:dyDescent="0.35">
      <c r="A1632" t="s">
        <v>1294</v>
      </c>
      <c r="B1632" s="8" t="s">
        <v>1295</v>
      </c>
      <c r="C1632" t="s">
        <v>6315</v>
      </c>
      <c r="D1632" s="8" t="s">
        <v>6316</v>
      </c>
    </row>
    <row r="1633" spans="1:4" x14ac:dyDescent="0.35">
      <c r="A1633" t="s">
        <v>1296</v>
      </c>
      <c r="B1633" s="8" t="s">
        <v>1297</v>
      </c>
      <c r="C1633" t="s">
        <v>6576</v>
      </c>
      <c r="D1633" s="8" t="s">
        <v>6577</v>
      </c>
    </row>
    <row r="1634" spans="1:4" x14ac:dyDescent="0.35">
      <c r="A1634" t="s">
        <v>1296</v>
      </c>
      <c r="B1634" s="8" t="s">
        <v>1297</v>
      </c>
      <c r="C1634" t="s">
        <v>6315</v>
      </c>
      <c r="D1634" s="8" t="s">
        <v>6316</v>
      </c>
    </row>
    <row r="1635" spans="1:4" x14ac:dyDescent="0.35">
      <c r="A1635" t="s">
        <v>1298</v>
      </c>
      <c r="B1635" s="8" t="s">
        <v>1299</v>
      </c>
      <c r="C1635" t="s">
        <v>6576</v>
      </c>
      <c r="D1635" s="8" t="s">
        <v>6577</v>
      </c>
    </row>
    <row r="1636" spans="1:4" x14ac:dyDescent="0.35">
      <c r="A1636" t="s">
        <v>1298</v>
      </c>
      <c r="B1636" s="8" t="s">
        <v>1299</v>
      </c>
      <c r="C1636" t="s">
        <v>6514</v>
      </c>
      <c r="D1636" s="8" t="s">
        <v>6515</v>
      </c>
    </row>
    <row r="1637" spans="1:4" x14ac:dyDescent="0.35">
      <c r="A1637" t="s">
        <v>1298</v>
      </c>
      <c r="B1637" s="8" t="s">
        <v>1299</v>
      </c>
      <c r="C1637" t="s">
        <v>6315</v>
      </c>
      <c r="D1637" s="8" t="s">
        <v>6316</v>
      </c>
    </row>
    <row r="1638" spans="1:4" x14ac:dyDescent="0.35">
      <c r="A1638" t="s">
        <v>1300</v>
      </c>
      <c r="B1638" s="8" t="s">
        <v>1301</v>
      </c>
      <c r="C1638" t="s">
        <v>6576</v>
      </c>
      <c r="D1638" s="8" t="s">
        <v>6577</v>
      </c>
    </row>
    <row r="1639" spans="1:4" x14ac:dyDescent="0.35">
      <c r="A1639" t="s">
        <v>1300</v>
      </c>
      <c r="B1639" s="8" t="s">
        <v>1301</v>
      </c>
      <c r="C1639" t="s">
        <v>6315</v>
      </c>
      <c r="D1639" s="8" t="s">
        <v>6316</v>
      </c>
    </row>
    <row r="1640" spans="1:4" x14ac:dyDescent="0.35">
      <c r="A1640" t="s">
        <v>1302</v>
      </c>
      <c r="B1640" s="8" t="s">
        <v>1303</v>
      </c>
      <c r="C1640" t="s">
        <v>6576</v>
      </c>
      <c r="D1640" s="8" t="s">
        <v>6577</v>
      </c>
    </row>
    <row r="1641" spans="1:4" x14ac:dyDescent="0.35">
      <c r="A1641" t="s">
        <v>1302</v>
      </c>
      <c r="B1641" s="8" t="s">
        <v>1303</v>
      </c>
      <c r="C1641" t="s">
        <v>6315</v>
      </c>
      <c r="D1641" s="8" t="s">
        <v>6316</v>
      </c>
    </row>
    <row r="1642" spans="1:4" x14ac:dyDescent="0.35">
      <c r="A1642" t="s">
        <v>1304</v>
      </c>
      <c r="B1642" s="8" t="s">
        <v>1305</v>
      </c>
      <c r="C1642" t="s">
        <v>6576</v>
      </c>
      <c r="D1642" s="8" t="s">
        <v>6577</v>
      </c>
    </row>
    <row r="1643" spans="1:4" x14ac:dyDescent="0.35">
      <c r="A1643" t="s">
        <v>1304</v>
      </c>
      <c r="B1643" s="8" t="s">
        <v>1305</v>
      </c>
      <c r="C1643" t="s">
        <v>6514</v>
      </c>
      <c r="D1643" s="8" t="s">
        <v>6515</v>
      </c>
    </row>
    <row r="1644" spans="1:4" x14ac:dyDescent="0.35">
      <c r="A1644" t="s">
        <v>1304</v>
      </c>
      <c r="B1644" s="8" t="s">
        <v>1305</v>
      </c>
      <c r="C1644" t="s">
        <v>6315</v>
      </c>
      <c r="D1644" s="8" t="s">
        <v>6316</v>
      </c>
    </row>
    <row r="1645" spans="1:4" x14ac:dyDescent="0.35">
      <c r="A1645" t="s">
        <v>1306</v>
      </c>
      <c r="B1645" s="8" t="s">
        <v>1307</v>
      </c>
      <c r="C1645" t="s">
        <v>6576</v>
      </c>
      <c r="D1645" s="8" t="s">
        <v>6577</v>
      </c>
    </row>
    <row r="1646" spans="1:4" x14ac:dyDescent="0.35">
      <c r="A1646" t="s">
        <v>1306</v>
      </c>
      <c r="B1646" s="8" t="s">
        <v>1307</v>
      </c>
      <c r="C1646" t="s">
        <v>6315</v>
      </c>
      <c r="D1646" s="8" t="s">
        <v>6316</v>
      </c>
    </row>
    <row r="1647" spans="1:4" x14ac:dyDescent="0.35">
      <c r="A1647" t="s">
        <v>1308</v>
      </c>
      <c r="B1647" s="8" t="s">
        <v>1309</v>
      </c>
      <c r="C1647" t="s">
        <v>6576</v>
      </c>
      <c r="D1647" s="8" t="s">
        <v>6577</v>
      </c>
    </row>
    <row r="1648" spans="1:4" x14ac:dyDescent="0.35">
      <c r="A1648" t="s">
        <v>1308</v>
      </c>
      <c r="B1648" s="8" t="s">
        <v>1309</v>
      </c>
      <c r="C1648" t="s">
        <v>6315</v>
      </c>
      <c r="D1648" s="8" t="s">
        <v>6316</v>
      </c>
    </row>
    <row r="1649" spans="1:4" x14ac:dyDescent="0.35">
      <c r="A1649" t="s">
        <v>1310</v>
      </c>
      <c r="B1649" s="8" t="s">
        <v>1311</v>
      </c>
      <c r="C1649" t="s">
        <v>6576</v>
      </c>
      <c r="D1649" s="8" t="s">
        <v>6577</v>
      </c>
    </row>
    <row r="1650" spans="1:4" x14ac:dyDescent="0.35">
      <c r="A1650" t="s">
        <v>1310</v>
      </c>
      <c r="B1650" s="8" t="s">
        <v>1311</v>
      </c>
      <c r="C1650" t="s">
        <v>6315</v>
      </c>
      <c r="D1650" s="8" t="s">
        <v>6316</v>
      </c>
    </row>
    <row r="1651" spans="1:4" x14ac:dyDescent="0.35">
      <c r="A1651" t="s">
        <v>1312</v>
      </c>
      <c r="B1651" s="8" t="s">
        <v>1313</v>
      </c>
      <c r="C1651" t="s">
        <v>6576</v>
      </c>
      <c r="D1651" s="8" t="s">
        <v>6577</v>
      </c>
    </row>
    <row r="1652" spans="1:4" x14ac:dyDescent="0.35">
      <c r="A1652" t="s">
        <v>1312</v>
      </c>
      <c r="B1652" s="8" t="s">
        <v>1313</v>
      </c>
      <c r="C1652" t="s">
        <v>6315</v>
      </c>
      <c r="D1652" s="8" t="s">
        <v>6316</v>
      </c>
    </row>
    <row r="1653" spans="1:4" x14ac:dyDescent="0.35">
      <c r="A1653" t="s">
        <v>1314</v>
      </c>
      <c r="B1653" s="8" t="s">
        <v>1315</v>
      </c>
      <c r="C1653" t="s">
        <v>6576</v>
      </c>
      <c r="D1653" s="8" t="s">
        <v>6577</v>
      </c>
    </row>
    <row r="1654" spans="1:4" x14ac:dyDescent="0.35">
      <c r="A1654" t="s">
        <v>1314</v>
      </c>
      <c r="B1654" s="8" t="s">
        <v>1315</v>
      </c>
      <c r="C1654" t="s">
        <v>6315</v>
      </c>
      <c r="D1654" s="8" t="s">
        <v>6316</v>
      </c>
    </row>
    <row r="1655" spans="1:4" x14ac:dyDescent="0.35">
      <c r="A1655" t="s">
        <v>1316</v>
      </c>
      <c r="B1655" s="8" t="s">
        <v>1317</v>
      </c>
      <c r="C1655" t="s">
        <v>6576</v>
      </c>
      <c r="D1655" s="8" t="s">
        <v>6577</v>
      </c>
    </row>
    <row r="1656" spans="1:4" x14ac:dyDescent="0.35">
      <c r="A1656" t="s">
        <v>1316</v>
      </c>
      <c r="B1656" s="8" t="s">
        <v>1317</v>
      </c>
      <c r="C1656" t="s">
        <v>6315</v>
      </c>
      <c r="D1656" s="8" t="s">
        <v>6316</v>
      </c>
    </row>
    <row r="1657" spans="1:4" x14ac:dyDescent="0.35">
      <c r="A1657" t="s">
        <v>1318</v>
      </c>
      <c r="B1657" s="8" t="s">
        <v>1319</v>
      </c>
      <c r="C1657" t="s">
        <v>6576</v>
      </c>
      <c r="D1657" s="8" t="s">
        <v>6577</v>
      </c>
    </row>
    <row r="1658" spans="1:4" x14ac:dyDescent="0.35">
      <c r="A1658" t="s">
        <v>1318</v>
      </c>
      <c r="B1658" s="8" t="s">
        <v>1319</v>
      </c>
      <c r="C1658" t="s">
        <v>6315</v>
      </c>
      <c r="D1658" s="8" t="s">
        <v>6316</v>
      </c>
    </row>
    <row r="1659" spans="1:4" x14ac:dyDescent="0.35">
      <c r="A1659" t="s">
        <v>1320</v>
      </c>
      <c r="B1659" s="8" t="s">
        <v>1321</v>
      </c>
      <c r="C1659" t="s">
        <v>6576</v>
      </c>
      <c r="D1659" s="8" t="s">
        <v>6577</v>
      </c>
    </row>
    <row r="1660" spans="1:4" x14ac:dyDescent="0.35">
      <c r="A1660" t="s">
        <v>1320</v>
      </c>
      <c r="B1660" s="8" t="s">
        <v>1321</v>
      </c>
      <c r="C1660" t="s">
        <v>6315</v>
      </c>
      <c r="D1660" s="8" t="s">
        <v>6316</v>
      </c>
    </row>
    <row r="1661" spans="1:4" x14ac:dyDescent="0.35">
      <c r="A1661" t="s">
        <v>1322</v>
      </c>
      <c r="B1661" s="8" t="s">
        <v>1323</v>
      </c>
      <c r="C1661" t="s">
        <v>6576</v>
      </c>
      <c r="D1661" s="8" t="s">
        <v>6577</v>
      </c>
    </row>
    <row r="1662" spans="1:4" x14ac:dyDescent="0.35">
      <c r="A1662" t="s">
        <v>1322</v>
      </c>
      <c r="B1662" s="8" t="s">
        <v>1323</v>
      </c>
      <c r="C1662" t="s">
        <v>6514</v>
      </c>
      <c r="D1662" s="8" t="s">
        <v>6515</v>
      </c>
    </row>
    <row r="1663" spans="1:4" x14ac:dyDescent="0.35">
      <c r="A1663" t="s">
        <v>1322</v>
      </c>
      <c r="B1663" s="8" t="s">
        <v>1323</v>
      </c>
      <c r="C1663" t="s">
        <v>6315</v>
      </c>
      <c r="D1663" s="8" t="s">
        <v>6316</v>
      </c>
    </row>
    <row r="1664" spans="1:4" x14ac:dyDescent="0.35">
      <c r="A1664" t="s">
        <v>1324</v>
      </c>
      <c r="B1664" s="8" t="s">
        <v>1325</v>
      </c>
      <c r="C1664" t="s">
        <v>6576</v>
      </c>
      <c r="D1664" s="8" t="s">
        <v>6577</v>
      </c>
    </row>
    <row r="1665" spans="1:4" x14ac:dyDescent="0.35">
      <c r="A1665" t="s">
        <v>1324</v>
      </c>
      <c r="B1665" s="8" t="s">
        <v>1325</v>
      </c>
      <c r="C1665" t="s">
        <v>6514</v>
      </c>
      <c r="D1665" s="8" t="s">
        <v>6515</v>
      </c>
    </row>
    <row r="1666" spans="1:4" x14ac:dyDescent="0.35">
      <c r="A1666" t="s">
        <v>1324</v>
      </c>
      <c r="B1666" s="8" t="s">
        <v>1325</v>
      </c>
      <c r="C1666" t="s">
        <v>6315</v>
      </c>
      <c r="D1666" s="8" t="s">
        <v>6316</v>
      </c>
    </row>
    <row r="1667" spans="1:4" x14ac:dyDescent="0.35">
      <c r="A1667" t="s">
        <v>1326</v>
      </c>
      <c r="B1667" s="8" t="s">
        <v>1327</v>
      </c>
      <c r="C1667" t="s">
        <v>6576</v>
      </c>
      <c r="D1667" s="8" t="s">
        <v>6577</v>
      </c>
    </row>
    <row r="1668" spans="1:4" x14ac:dyDescent="0.35">
      <c r="A1668" t="s">
        <v>1326</v>
      </c>
      <c r="B1668" s="8" t="s">
        <v>1327</v>
      </c>
      <c r="C1668" t="s">
        <v>6315</v>
      </c>
      <c r="D1668" s="8" t="s">
        <v>6316</v>
      </c>
    </row>
    <row r="1669" spans="1:4" x14ac:dyDescent="0.35">
      <c r="A1669" t="s">
        <v>1328</v>
      </c>
      <c r="B1669" s="8" t="s">
        <v>1329</v>
      </c>
      <c r="C1669" t="s">
        <v>6576</v>
      </c>
      <c r="D1669" s="8" t="s">
        <v>6577</v>
      </c>
    </row>
    <row r="1670" spans="1:4" x14ac:dyDescent="0.35">
      <c r="A1670" t="s">
        <v>1328</v>
      </c>
      <c r="B1670" s="8" t="s">
        <v>1329</v>
      </c>
      <c r="C1670" t="s">
        <v>6315</v>
      </c>
      <c r="D1670" s="8" t="s">
        <v>6316</v>
      </c>
    </row>
    <row r="1671" spans="1:4" x14ac:dyDescent="0.35">
      <c r="A1671" t="s">
        <v>1330</v>
      </c>
      <c r="B1671" s="8" t="s">
        <v>1331</v>
      </c>
      <c r="C1671" t="s">
        <v>6576</v>
      </c>
      <c r="D1671" s="8" t="s">
        <v>6577</v>
      </c>
    </row>
    <row r="1672" spans="1:4" x14ac:dyDescent="0.35">
      <c r="A1672" t="s">
        <v>1330</v>
      </c>
      <c r="B1672" s="8" t="s">
        <v>1331</v>
      </c>
      <c r="C1672" t="s">
        <v>6315</v>
      </c>
      <c r="D1672" s="8" t="s">
        <v>6316</v>
      </c>
    </row>
    <row r="1673" spans="1:4" x14ac:dyDescent="0.35">
      <c r="A1673" t="s">
        <v>1332</v>
      </c>
      <c r="B1673" s="8" t="s">
        <v>1333</v>
      </c>
      <c r="C1673" t="s">
        <v>6576</v>
      </c>
      <c r="D1673" s="8" t="s">
        <v>6577</v>
      </c>
    </row>
    <row r="1674" spans="1:4" x14ac:dyDescent="0.35">
      <c r="A1674" t="s">
        <v>1332</v>
      </c>
      <c r="B1674" s="8" t="s">
        <v>1333</v>
      </c>
      <c r="C1674" t="s">
        <v>6315</v>
      </c>
      <c r="D1674" s="8" t="s">
        <v>6316</v>
      </c>
    </row>
    <row r="1675" spans="1:4" x14ac:dyDescent="0.35">
      <c r="A1675" t="s">
        <v>1334</v>
      </c>
      <c r="B1675" s="8" t="s">
        <v>1335</v>
      </c>
      <c r="C1675" t="s">
        <v>6576</v>
      </c>
      <c r="D1675" s="8" t="s">
        <v>6577</v>
      </c>
    </row>
    <row r="1676" spans="1:4" x14ac:dyDescent="0.35">
      <c r="A1676" t="s">
        <v>1334</v>
      </c>
      <c r="B1676" s="8" t="s">
        <v>1335</v>
      </c>
      <c r="C1676" t="s">
        <v>6315</v>
      </c>
      <c r="D1676" s="8" t="s">
        <v>6316</v>
      </c>
    </row>
    <row r="1677" spans="1:4" x14ac:dyDescent="0.35">
      <c r="A1677" t="s">
        <v>1336</v>
      </c>
      <c r="B1677" s="8" t="s">
        <v>1337</v>
      </c>
      <c r="C1677" t="s">
        <v>6576</v>
      </c>
      <c r="D1677" s="8" t="s">
        <v>6577</v>
      </c>
    </row>
    <row r="1678" spans="1:4" x14ac:dyDescent="0.35">
      <c r="A1678" t="s">
        <v>1336</v>
      </c>
      <c r="B1678" s="8" t="s">
        <v>1337</v>
      </c>
      <c r="C1678" t="s">
        <v>6514</v>
      </c>
      <c r="D1678" s="8" t="s">
        <v>6515</v>
      </c>
    </row>
    <row r="1679" spans="1:4" x14ac:dyDescent="0.35">
      <c r="A1679" t="s">
        <v>1336</v>
      </c>
      <c r="B1679" s="8" t="s">
        <v>1337</v>
      </c>
      <c r="C1679" t="s">
        <v>6315</v>
      </c>
      <c r="D1679" s="8" t="s">
        <v>6316</v>
      </c>
    </row>
    <row r="1680" spans="1:4" x14ac:dyDescent="0.35">
      <c r="A1680" t="s">
        <v>1338</v>
      </c>
      <c r="B1680" s="8" t="s">
        <v>1339</v>
      </c>
      <c r="C1680" t="s">
        <v>6576</v>
      </c>
      <c r="D1680" s="8" t="s">
        <v>6577</v>
      </c>
    </row>
    <row r="1681" spans="1:4" x14ac:dyDescent="0.35">
      <c r="A1681" t="s">
        <v>1338</v>
      </c>
      <c r="B1681" s="8" t="s">
        <v>1339</v>
      </c>
      <c r="C1681" t="s">
        <v>6315</v>
      </c>
      <c r="D1681" s="8" t="s">
        <v>6316</v>
      </c>
    </row>
    <row r="1682" spans="1:4" x14ac:dyDescent="0.35">
      <c r="A1682" t="s">
        <v>1340</v>
      </c>
      <c r="B1682" s="8" t="s">
        <v>1341</v>
      </c>
      <c r="C1682" t="s">
        <v>6576</v>
      </c>
      <c r="D1682" s="8" t="s">
        <v>6577</v>
      </c>
    </row>
    <row r="1683" spans="1:4" x14ac:dyDescent="0.35">
      <c r="A1683" t="s">
        <v>1340</v>
      </c>
      <c r="B1683" s="8" t="s">
        <v>1341</v>
      </c>
      <c r="C1683" t="s">
        <v>6315</v>
      </c>
      <c r="D1683" s="8" t="s">
        <v>6316</v>
      </c>
    </row>
    <row r="1684" spans="1:4" x14ac:dyDescent="0.35">
      <c r="A1684" t="s">
        <v>1342</v>
      </c>
      <c r="B1684" s="8" t="s">
        <v>1343</v>
      </c>
      <c r="C1684" t="s">
        <v>6576</v>
      </c>
      <c r="D1684" s="8" t="s">
        <v>6577</v>
      </c>
    </row>
    <row r="1685" spans="1:4" x14ac:dyDescent="0.35">
      <c r="A1685" t="s">
        <v>1342</v>
      </c>
      <c r="B1685" s="8" t="s">
        <v>1343</v>
      </c>
      <c r="C1685" t="s">
        <v>6315</v>
      </c>
      <c r="D1685" s="8" t="s">
        <v>6316</v>
      </c>
    </row>
    <row r="1686" spans="1:4" x14ac:dyDescent="0.35">
      <c r="A1686" t="s">
        <v>1344</v>
      </c>
      <c r="B1686" s="8" t="s">
        <v>1345</v>
      </c>
      <c r="C1686" t="s">
        <v>6576</v>
      </c>
      <c r="D1686" s="8" t="s">
        <v>6577</v>
      </c>
    </row>
    <row r="1687" spans="1:4" x14ac:dyDescent="0.35">
      <c r="A1687" t="s">
        <v>1344</v>
      </c>
      <c r="B1687" s="8" t="s">
        <v>1345</v>
      </c>
      <c r="C1687" t="s">
        <v>6315</v>
      </c>
      <c r="D1687" s="8" t="s">
        <v>6316</v>
      </c>
    </row>
    <row r="1688" spans="1:4" x14ac:dyDescent="0.35">
      <c r="A1688" t="s">
        <v>1346</v>
      </c>
      <c r="B1688" s="8" t="s">
        <v>1347</v>
      </c>
      <c r="C1688" t="s">
        <v>6576</v>
      </c>
      <c r="D1688" s="8" t="s">
        <v>6577</v>
      </c>
    </row>
    <row r="1689" spans="1:4" x14ac:dyDescent="0.35">
      <c r="A1689" t="s">
        <v>1346</v>
      </c>
      <c r="B1689" s="8" t="s">
        <v>1347</v>
      </c>
      <c r="C1689" t="s">
        <v>6315</v>
      </c>
      <c r="D1689" s="8" t="s">
        <v>6316</v>
      </c>
    </row>
    <row r="1690" spans="1:4" x14ac:dyDescent="0.35">
      <c r="A1690" t="s">
        <v>1348</v>
      </c>
      <c r="B1690" s="8" t="s">
        <v>1349</v>
      </c>
      <c r="C1690" t="s">
        <v>6576</v>
      </c>
      <c r="D1690" s="8" t="s">
        <v>6577</v>
      </c>
    </row>
    <row r="1691" spans="1:4" x14ac:dyDescent="0.35">
      <c r="A1691" t="s">
        <v>1348</v>
      </c>
      <c r="B1691" s="8" t="s">
        <v>1349</v>
      </c>
      <c r="C1691" t="s">
        <v>6315</v>
      </c>
      <c r="D1691" s="8" t="s">
        <v>6316</v>
      </c>
    </row>
    <row r="1692" spans="1:4" x14ac:dyDescent="0.35">
      <c r="A1692" t="s">
        <v>1350</v>
      </c>
      <c r="B1692" s="8" t="s">
        <v>1351</v>
      </c>
      <c r="C1692" t="s">
        <v>6576</v>
      </c>
      <c r="D1692" s="8" t="s">
        <v>6577</v>
      </c>
    </row>
    <row r="1693" spans="1:4" x14ac:dyDescent="0.35">
      <c r="A1693" t="s">
        <v>1350</v>
      </c>
      <c r="B1693" s="8" t="s">
        <v>1351</v>
      </c>
      <c r="C1693" t="s">
        <v>6315</v>
      </c>
      <c r="D1693" s="8" t="s">
        <v>6316</v>
      </c>
    </row>
    <row r="1694" spans="1:4" x14ac:dyDescent="0.35">
      <c r="A1694" t="s">
        <v>1352</v>
      </c>
      <c r="B1694" s="8" t="s">
        <v>1353</v>
      </c>
      <c r="C1694" t="s">
        <v>6576</v>
      </c>
      <c r="D1694" s="8" t="s">
        <v>6577</v>
      </c>
    </row>
    <row r="1695" spans="1:4" x14ac:dyDescent="0.35">
      <c r="A1695" t="s">
        <v>1352</v>
      </c>
      <c r="B1695" s="8" t="s">
        <v>1353</v>
      </c>
      <c r="C1695" t="s">
        <v>6315</v>
      </c>
      <c r="D1695" s="8" t="s">
        <v>6316</v>
      </c>
    </row>
    <row r="1696" spans="1:4" x14ac:dyDescent="0.35">
      <c r="A1696" t="s">
        <v>1354</v>
      </c>
      <c r="B1696" s="8" t="s">
        <v>1355</v>
      </c>
      <c r="C1696" t="s">
        <v>6576</v>
      </c>
      <c r="D1696" s="8" t="s">
        <v>6577</v>
      </c>
    </row>
    <row r="1697" spans="1:4" x14ac:dyDescent="0.35">
      <c r="A1697" t="s">
        <v>1354</v>
      </c>
      <c r="B1697" s="8" t="s">
        <v>1355</v>
      </c>
      <c r="C1697" t="s">
        <v>6315</v>
      </c>
      <c r="D1697" s="8" t="s">
        <v>6316</v>
      </c>
    </row>
    <row r="1698" spans="1:4" x14ac:dyDescent="0.35">
      <c r="A1698" t="s">
        <v>1356</v>
      </c>
      <c r="B1698" s="8" t="s">
        <v>1357</v>
      </c>
      <c r="C1698" t="s">
        <v>6576</v>
      </c>
      <c r="D1698" s="8" t="s">
        <v>6577</v>
      </c>
    </row>
    <row r="1699" spans="1:4" x14ac:dyDescent="0.35">
      <c r="A1699" t="s">
        <v>1356</v>
      </c>
      <c r="B1699" s="8" t="s">
        <v>1357</v>
      </c>
      <c r="C1699" t="s">
        <v>6315</v>
      </c>
      <c r="D1699" s="8" t="s">
        <v>6316</v>
      </c>
    </row>
    <row r="1700" spans="1:4" x14ac:dyDescent="0.35">
      <c r="A1700" t="s">
        <v>1358</v>
      </c>
      <c r="B1700" s="8" t="s">
        <v>1359</v>
      </c>
      <c r="C1700" t="s">
        <v>6576</v>
      </c>
      <c r="D1700" s="8" t="s">
        <v>6577</v>
      </c>
    </row>
    <row r="1701" spans="1:4" x14ac:dyDescent="0.35">
      <c r="A1701" t="s">
        <v>1358</v>
      </c>
      <c r="B1701" s="8" t="s">
        <v>1359</v>
      </c>
      <c r="C1701" t="s">
        <v>6514</v>
      </c>
      <c r="D1701" s="8" t="s">
        <v>6515</v>
      </c>
    </row>
    <row r="1702" spans="1:4" x14ac:dyDescent="0.35">
      <c r="A1702" t="s">
        <v>1358</v>
      </c>
      <c r="B1702" s="8" t="s">
        <v>1359</v>
      </c>
      <c r="C1702" t="s">
        <v>6315</v>
      </c>
      <c r="D1702" s="8" t="s">
        <v>6316</v>
      </c>
    </row>
    <row r="1703" spans="1:4" x14ac:dyDescent="0.35">
      <c r="A1703" t="s">
        <v>1360</v>
      </c>
      <c r="B1703" s="8" t="s">
        <v>1361</v>
      </c>
      <c r="C1703" t="s">
        <v>6576</v>
      </c>
      <c r="D1703" s="8" t="s">
        <v>6577</v>
      </c>
    </row>
    <row r="1704" spans="1:4" x14ac:dyDescent="0.35">
      <c r="A1704" t="s">
        <v>1360</v>
      </c>
      <c r="B1704" s="8" t="s">
        <v>1361</v>
      </c>
      <c r="C1704" t="s">
        <v>6514</v>
      </c>
      <c r="D1704" s="8" t="s">
        <v>6515</v>
      </c>
    </row>
    <row r="1705" spans="1:4" x14ac:dyDescent="0.35">
      <c r="A1705" t="s">
        <v>1360</v>
      </c>
      <c r="B1705" s="8" t="s">
        <v>1361</v>
      </c>
      <c r="C1705" t="s">
        <v>6315</v>
      </c>
      <c r="D1705" s="8" t="s">
        <v>6316</v>
      </c>
    </row>
    <row r="1706" spans="1:4" x14ac:dyDescent="0.35">
      <c r="A1706" t="s">
        <v>1362</v>
      </c>
      <c r="B1706" s="8" t="s">
        <v>1363</v>
      </c>
      <c r="C1706" t="s">
        <v>6576</v>
      </c>
      <c r="D1706" s="8" t="s">
        <v>6577</v>
      </c>
    </row>
    <row r="1707" spans="1:4" x14ac:dyDescent="0.35">
      <c r="A1707" t="s">
        <v>1362</v>
      </c>
      <c r="B1707" s="8" t="s">
        <v>1363</v>
      </c>
      <c r="C1707" t="s">
        <v>6514</v>
      </c>
      <c r="D1707" s="8" t="s">
        <v>6515</v>
      </c>
    </row>
    <row r="1708" spans="1:4" x14ac:dyDescent="0.35">
      <c r="A1708" t="s">
        <v>1362</v>
      </c>
      <c r="B1708" s="8" t="s">
        <v>1363</v>
      </c>
      <c r="C1708" t="s">
        <v>6315</v>
      </c>
      <c r="D1708" s="8" t="s">
        <v>6316</v>
      </c>
    </row>
    <row r="1709" spans="1:4" x14ac:dyDescent="0.35">
      <c r="A1709" t="s">
        <v>1364</v>
      </c>
      <c r="B1709" s="8" t="s">
        <v>1365</v>
      </c>
      <c r="C1709" t="s">
        <v>6576</v>
      </c>
      <c r="D1709" s="8" t="s">
        <v>6577</v>
      </c>
    </row>
    <row r="1710" spans="1:4" x14ac:dyDescent="0.35">
      <c r="A1710" t="s">
        <v>1364</v>
      </c>
      <c r="B1710" s="8" t="s">
        <v>1365</v>
      </c>
      <c r="C1710" t="s">
        <v>6315</v>
      </c>
      <c r="D1710" s="8" t="s">
        <v>6316</v>
      </c>
    </row>
    <row r="1711" spans="1:4" x14ac:dyDescent="0.35">
      <c r="A1711" t="s">
        <v>1366</v>
      </c>
      <c r="B1711" s="8" t="s">
        <v>1367</v>
      </c>
      <c r="C1711" t="s">
        <v>6576</v>
      </c>
      <c r="D1711" s="8" t="s">
        <v>6577</v>
      </c>
    </row>
    <row r="1712" spans="1:4" x14ac:dyDescent="0.35">
      <c r="A1712" t="s">
        <v>1366</v>
      </c>
      <c r="B1712" s="8" t="s">
        <v>1367</v>
      </c>
      <c r="C1712" t="s">
        <v>6514</v>
      </c>
      <c r="D1712" s="8" t="s">
        <v>6515</v>
      </c>
    </row>
    <row r="1713" spans="1:4" x14ac:dyDescent="0.35">
      <c r="A1713" t="s">
        <v>1366</v>
      </c>
      <c r="B1713" s="8" t="s">
        <v>1367</v>
      </c>
      <c r="C1713" t="s">
        <v>6315</v>
      </c>
      <c r="D1713" s="8" t="s">
        <v>6316</v>
      </c>
    </row>
    <row r="1714" spans="1:4" x14ac:dyDescent="0.35">
      <c r="A1714" t="s">
        <v>1368</v>
      </c>
      <c r="B1714" s="8" t="s">
        <v>1369</v>
      </c>
      <c r="C1714" t="s">
        <v>6576</v>
      </c>
      <c r="D1714" s="8" t="s">
        <v>6577</v>
      </c>
    </row>
    <row r="1715" spans="1:4" x14ac:dyDescent="0.35">
      <c r="A1715" t="s">
        <v>1368</v>
      </c>
      <c r="B1715" s="8" t="s">
        <v>1369</v>
      </c>
      <c r="C1715" t="s">
        <v>6315</v>
      </c>
      <c r="D1715" s="8" t="s">
        <v>6316</v>
      </c>
    </row>
    <row r="1716" spans="1:4" x14ac:dyDescent="0.35">
      <c r="A1716" t="s">
        <v>1370</v>
      </c>
      <c r="B1716" s="8" t="s">
        <v>1371</v>
      </c>
      <c r="C1716" t="s">
        <v>6576</v>
      </c>
      <c r="D1716" s="8" t="s">
        <v>6577</v>
      </c>
    </row>
    <row r="1717" spans="1:4" x14ac:dyDescent="0.35">
      <c r="A1717" t="s">
        <v>1370</v>
      </c>
      <c r="B1717" s="8" t="s">
        <v>1371</v>
      </c>
      <c r="C1717" t="s">
        <v>6315</v>
      </c>
      <c r="D1717" s="8" t="s">
        <v>6316</v>
      </c>
    </row>
    <row r="1718" spans="1:4" x14ac:dyDescent="0.35">
      <c r="A1718" t="s">
        <v>1372</v>
      </c>
      <c r="B1718" s="8" t="s">
        <v>1373</v>
      </c>
      <c r="C1718" t="s">
        <v>6576</v>
      </c>
      <c r="D1718" s="8" t="s">
        <v>6577</v>
      </c>
    </row>
    <row r="1719" spans="1:4" x14ac:dyDescent="0.35">
      <c r="A1719" t="s">
        <v>1372</v>
      </c>
      <c r="B1719" s="8" t="s">
        <v>1373</v>
      </c>
      <c r="C1719" t="s">
        <v>6315</v>
      </c>
      <c r="D1719" s="8" t="s">
        <v>6316</v>
      </c>
    </row>
    <row r="1720" spans="1:4" x14ac:dyDescent="0.35">
      <c r="A1720" t="s">
        <v>1374</v>
      </c>
      <c r="B1720" s="8" t="s">
        <v>1375</v>
      </c>
      <c r="C1720" t="s">
        <v>6576</v>
      </c>
      <c r="D1720" s="8" t="s">
        <v>6577</v>
      </c>
    </row>
    <row r="1721" spans="1:4" x14ac:dyDescent="0.35">
      <c r="A1721" t="s">
        <v>1374</v>
      </c>
      <c r="B1721" s="8" t="s">
        <v>1375</v>
      </c>
      <c r="C1721" t="s">
        <v>6514</v>
      </c>
      <c r="D1721" s="8" t="s">
        <v>6515</v>
      </c>
    </row>
    <row r="1722" spans="1:4" x14ac:dyDescent="0.35">
      <c r="A1722" t="s">
        <v>1374</v>
      </c>
      <c r="B1722" s="8" t="s">
        <v>1375</v>
      </c>
      <c r="C1722" t="s">
        <v>6315</v>
      </c>
      <c r="D1722" s="8" t="s">
        <v>6316</v>
      </c>
    </row>
    <row r="1723" spans="1:4" x14ac:dyDescent="0.35">
      <c r="A1723" t="s">
        <v>1376</v>
      </c>
      <c r="B1723" s="8" t="s">
        <v>1377</v>
      </c>
      <c r="C1723" t="s">
        <v>6576</v>
      </c>
      <c r="D1723" s="8" t="s">
        <v>6577</v>
      </c>
    </row>
    <row r="1724" spans="1:4" x14ac:dyDescent="0.35">
      <c r="A1724" t="s">
        <v>1376</v>
      </c>
      <c r="B1724" s="8" t="s">
        <v>1377</v>
      </c>
      <c r="C1724" t="s">
        <v>6514</v>
      </c>
      <c r="D1724" s="8" t="s">
        <v>6515</v>
      </c>
    </row>
    <row r="1725" spans="1:4" x14ac:dyDescent="0.35">
      <c r="A1725" t="s">
        <v>1376</v>
      </c>
      <c r="B1725" s="8" t="s">
        <v>1377</v>
      </c>
      <c r="C1725" t="s">
        <v>6315</v>
      </c>
      <c r="D1725" s="8" t="s">
        <v>6316</v>
      </c>
    </row>
    <row r="1726" spans="1:4" ht="29" x14ac:dyDescent="0.35">
      <c r="A1726" t="s">
        <v>1378</v>
      </c>
      <c r="B1726" s="8" t="s">
        <v>1379</v>
      </c>
      <c r="C1726" t="s">
        <v>6576</v>
      </c>
      <c r="D1726" s="8" t="s">
        <v>6577</v>
      </c>
    </row>
    <row r="1727" spans="1:4" ht="29" x14ac:dyDescent="0.35">
      <c r="A1727" t="s">
        <v>1378</v>
      </c>
      <c r="B1727" s="8" t="s">
        <v>1379</v>
      </c>
      <c r="C1727" t="s">
        <v>6315</v>
      </c>
      <c r="D1727" s="8" t="s">
        <v>6316</v>
      </c>
    </row>
    <row r="1728" spans="1:4" x14ac:dyDescent="0.35">
      <c r="A1728" t="s">
        <v>1380</v>
      </c>
      <c r="B1728" s="8" t="s">
        <v>1381</v>
      </c>
      <c r="C1728" t="s">
        <v>6576</v>
      </c>
      <c r="D1728" s="8" t="s">
        <v>6577</v>
      </c>
    </row>
    <row r="1729" spans="1:4" x14ac:dyDescent="0.35">
      <c r="A1729" t="s">
        <v>1380</v>
      </c>
      <c r="B1729" s="8" t="s">
        <v>1381</v>
      </c>
      <c r="C1729" t="s">
        <v>6514</v>
      </c>
      <c r="D1729" s="8" t="s">
        <v>6515</v>
      </c>
    </row>
    <row r="1730" spans="1:4" x14ac:dyDescent="0.35">
      <c r="A1730" t="s">
        <v>1380</v>
      </c>
      <c r="B1730" s="8" t="s">
        <v>1381</v>
      </c>
      <c r="C1730" t="s">
        <v>6315</v>
      </c>
      <c r="D1730" s="8" t="s">
        <v>6316</v>
      </c>
    </row>
    <row r="1731" spans="1:4" x14ac:dyDescent="0.35">
      <c r="A1731" t="s">
        <v>1382</v>
      </c>
      <c r="B1731" s="8" t="s">
        <v>1383</v>
      </c>
      <c r="C1731" t="s">
        <v>6576</v>
      </c>
      <c r="D1731" s="8" t="s">
        <v>6577</v>
      </c>
    </row>
    <row r="1732" spans="1:4" x14ac:dyDescent="0.35">
      <c r="A1732" t="s">
        <v>1382</v>
      </c>
      <c r="B1732" s="8" t="s">
        <v>1383</v>
      </c>
      <c r="C1732" t="s">
        <v>6514</v>
      </c>
      <c r="D1732" s="8" t="s">
        <v>6515</v>
      </c>
    </row>
    <row r="1733" spans="1:4" x14ac:dyDescent="0.35">
      <c r="A1733" t="s">
        <v>1382</v>
      </c>
      <c r="B1733" s="8" t="s">
        <v>1383</v>
      </c>
      <c r="C1733" t="s">
        <v>6315</v>
      </c>
      <c r="D1733" s="8" t="s">
        <v>6316</v>
      </c>
    </row>
    <row r="1734" spans="1:4" x14ac:dyDescent="0.35">
      <c r="A1734" t="s">
        <v>1384</v>
      </c>
      <c r="B1734" s="8" t="s">
        <v>1385</v>
      </c>
      <c r="C1734" t="s">
        <v>6576</v>
      </c>
      <c r="D1734" s="8" t="s">
        <v>6577</v>
      </c>
    </row>
    <row r="1735" spans="1:4" x14ac:dyDescent="0.35">
      <c r="A1735" t="s">
        <v>1384</v>
      </c>
      <c r="B1735" s="8" t="s">
        <v>1385</v>
      </c>
      <c r="C1735" t="s">
        <v>6315</v>
      </c>
      <c r="D1735" s="8" t="s">
        <v>6316</v>
      </c>
    </row>
    <row r="1736" spans="1:4" x14ac:dyDescent="0.35">
      <c r="A1736" t="s">
        <v>1386</v>
      </c>
      <c r="B1736" s="8" t="s">
        <v>1387</v>
      </c>
      <c r="C1736" t="s">
        <v>6576</v>
      </c>
      <c r="D1736" s="8" t="s">
        <v>6577</v>
      </c>
    </row>
    <row r="1737" spans="1:4" x14ac:dyDescent="0.35">
      <c r="A1737" t="s">
        <v>1386</v>
      </c>
      <c r="B1737" s="8" t="s">
        <v>1387</v>
      </c>
      <c r="C1737" t="s">
        <v>6315</v>
      </c>
      <c r="D1737" s="8" t="s">
        <v>6316</v>
      </c>
    </row>
    <row r="1738" spans="1:4" x14ac:dyDescent="0.35">
      <c r="A1738" t="s">
        <v>1388</v>
      </c>
      <c r="B1738" s="8" t="s">
        <v>1389</v>
      </c>
      <c r="C1738" t="s">
        <v>6576</v>
      </c>
      <c r="D1738" s="8" t="s">
        <v>6577</v>
      </c>
    </row>
    <row r="1739" spans="1:4" x14ac:dyDescent="0.35">
      <c r="A1739" t="s">
        <v>1388</v>
      </c>
      <c r="B1739" s="8" t="s">
        <v>1389</v>
      </c>
      <c r="C1739" t="s">
        <v>6514</v>
      </c>
      <c r="D1739" s="8" t="s">
        <v>6515</v>
      </c>
    </row>
    <row r="1740" spans="1:4" x14ac:dyDescent="0.35">
      <c r="A1740" t="s">
        <v>1388</v>
      </c>
      <c r="B1740" s="8" t="s">
        <v>1389</v>
      </c>
      <c r="C1740" t="s">
        <v>6315</v>
      </c>
      <c r="D1740" s="8" t="s">
        <v>6316</v>
      </c>
    </row>
    <row r="1741" spans="1:4" x14ac:dyDescent="0.35">
      <c r="A1741" t="s">
        <v>1390</v>
      </c>
      <c r="B1741" s="8" t="s">
        <v>1391</v>
      </c>
      <c r="C1741" t="s">
        <v>6576</v>
      </c>
      <c r="D1741" s="8" t="s">
        <v>6577</v>
      </c>
    </row>
    <row r="1742" spans="1:4" x14ac:dyDescent="0.35">
      <c r="A1742" t="s">
        <v>1390</v>
      </c>
      <c r="B1742" s="8" t="s">
        <v>1391</v>
      </c>
      <c r="C1742" t="s">
        <v>6514</v>
      </c>
      <c r="D1742" s="8" t="s">
        <v>6515</v>
      </c>
    </row>
    <row r="1743" spans="1:4" x14ac:dyDescent="0.35">
      <c r="A1743" t="s">
        <v>1390</v>
      </c>
      <c r="B1743" s="8" t="s">
        <v>1391</v>
      </c>
      <c r="C1743" t="s">
        <v>6315</v>
      </c>
      <c r="D1743" s="8" t="s">
        <v>6316</v>
      </c>
    </row>
    <row r="1744" spans="1:4" x14ac:dyDescent="0.35">
      <c r="A1744" t="s">
        <v>1392</v>
      </c>
      <c r="B1744" s="8" t="s">
        <v>1393</v>
      </c>
      <c r="C1744" t="s">
        <v>6576</v>
      </c>
      <c r="D1744" s="8" t="s">
        <v>6577</v>
      </c>
    </row>
    <row r="1745" spans="1:4" x14ac:dyDescent="0.35">
      <c r="A1745" t="s">
        <v>1392</v>
      </c>
      <c r="B1745" s="8" t="s">
        <v>1393</v>
      </c>
      <c r="C1745" t="s">
        <v>6514</v>
      </c>
      <c r="D1745" s="8" t="s">
        <v>6515</v>
      </c>
    </row>
    <row r="1746" spans="1:4" x14ac:dyDescent="0.35">
      <c r="A1746" t="s">
        <v>1392</v>
      </c>
      <c r="B1746" s="8" t="s">
        <v>1393</v>
      </c>
      <c r="C1746" t="s">
        <v>6315</v>
      </c>
      <c r="D1746" s="8" t="s">
        <v>6316</v>
      </c>
    </row>
    <row r="1747" spans="1:4" x14ac:dyDescent="0.35">
      <c r="A1747" t="s">
        <v>1394</v>
      </c>
      <c r="B1747" s="8" t="s">
        <v>1395</v>
      </c>
      <c r="C1747" t="s">
        <v>6576</v>
      </c>
      <c r="D1747" s="8" t="s">
        <v>6577</v>
      </c>
    </row>
    <row r="1748" spans="1:4" x14ac:dyDescent="0.35">
      <c r="A1748" t="s">
        <v>1394</v>
      </c>
      <c r="B1748" s="8" t="s">
        <v>1395</v>
      </c>
      <c r="C1748" t="s">
        <v>6514</v>
      </c>
      <c r="D1748" s="8" t="s">
        <v>6515</v>
      </c>
    </row>
    <row r="1749" spans="1:4" x14ac:dyDescent="0.35">
      <c r="A1749" t="s">
        <v>1394</v>
      </c>
      <c r="B1749" s="8" t="s">
        <v>1395</v>
      </c>
      <c r="C1749" t="s">
        <v>6315</v>
      </c>
      <c r="D1749" s="8" t="s">
        <v>6316</v>
      </c>
    </row>
    <row r="1750" spans="1:4" x14ac:dyDescent="0.35">
      <c r="A1750" t="s">
        <v>1396</v>
      </c>
      <c r="B1750" s="8" t="s">
        <v>1397</v>
      </c>
      <c r="C1750" t="s">
        <v>6576</v>
      </c>
      <c r="D1750" s="8" t="s">
        <v>6577</v>
      </c>
    </row>
    <row r="1751" spans="1:4" x14ac:dyDescent="0.35">
      <c r="A1751" t="s">
        <v>1396</v>
      </c>
      <c r="B1751" s="8" t="s">
        <v>1397</v>
      </c>
      <c r="C1751" t="s">
        <v>6315</v>
      </c>
      <c r="D1751" s="8" t="s">
        <v>6316</v>
      </c>
    </row>
    <row r="1752" spans="1:4" x14ac:dyDescent="0.35">
      <c r="A1752" t="s">
        <v>1398</v>
      </c>
      <c r="B1752" s="8" t="s">
        <v>1399</v>
      </c>
      <c r="C1752" t="s">
        <v>6576</v>
      </c>
      <c r="D1752" s="8" t="s">
        <v>6577</v>
      </c>
    </row>
    <row r="1753" spans="1:4" x14ac:dyDescent="0.35">
      <c r="A1753" t="s">
        <v>1398</v>
      </c>
      <c r="B1753" s="8" t="s">
        <v>1399</v>
      </c>
      <c r="C1753" t="s">
        <v>6315</v>
      </c>
      <c r="D1753" s="8" t="s">
        <v>6316</v>
      </c>
    </row>
    <row r="1754" spans="1:4" x14ac:dyDescent="0.35">
      <c r="A1754" t="s">
        <v>1400</v>
      </c>
      <c r="B1754" s="8" t="s">
        <v>1401</v>
      </c>
      <c r="C1754" t="s">
        <v>6576</v>
      </c>
      <c r="D1754" s="8" t="s">
        <v>6577</v>
      </c>
    </row>
    <row r="1755" spans="1:4" x14ac:dyDescent="0.35">
      <c r="A1755" t="s">
        <v>1400</v>
      </c>
      <c r="B1755" s="8" t="s">
        <v>1401</v>
      </c>
      <c r="C1755" t="s">
        <v>6315</v>
      </c>
      <c r="D1755" s="8" t="s">
        <v>6316</v>
      </c>
    </row>
    <row r="1756" spans="1:4" x14ac:dyDescent="0.35">
      <c r="A1756" t="s">
        <v>1402</v>
      </c>
      <c r="B1756" s="8" t="s">
        <v>1403</v>
      </c>
      <c r="C1756" t="s">
        <v>6576</v>
      </c>
      <c r="D1756" s="8" t="s">
        <v>6577</v>
      </c>
    </row>
    <row r="1757" spans="1:4" x14ac:dyDescent="0.35">
      <c r="A1757" t="s">
        <v>1402</v>
      </c>
      <c r="B1757" s="8" t="s">
        <v>1403</v>
      </c>
      <c r="C1757" t="s">
        <v>6315</v>
      </c>
      <c r="D1757" s="8" t="s">
        <v>6316</v>
      </c>
    </row>
    <row r="1758" spans="1:4" x14ac:dyDescent="0.35">
      <c r="A1758" t="s">
        <v>1404</v>
      </c>
      <c r="B1758" s="8" t="s">
        <v>1405</v>
      </c>
      <c r="C1758" t="s">
        <v>6576</v>
      </c>
      <c r="D1758" s="8" t="s">
        <v>6577</v>
      </c>
    </row>
    <row r="1759" spans="1:4" x14ac:dyDescent="0.35">
      <c r="A1759" t="s">
        <v>1404</v>
      </c>
      <c r="B1759" s="8" t="s">
        <v>1405</v>
      </c>
      <c r="C1759" t="s">
        <v>6315</v>
      </c>
      <c r="D1759" s="8" t="s">
        <v>6316</v>
      </c>
    </row>
    <row r="1760" spans="1:4" x14ac:dyDescent="0.35">
      <c r="A1760" t="s">
        <v>1406</v>
      </c>
      <c r="B1760" s="8" t="s">
        <v>1407</v>
      </c>
      <c r="C1760" t="s">
        <v>6576</v>
      </c>
      <c r="D1760" s="8" t="s">
        <v>6577</v>
      </c>
    </row>
    <row r="1761" spans="1:4" x14ac:dyDescent="0.35">
      <c r="A1761" t="s">
        <v>1406</v>
      </c>
      <c r="B1761" s="8" t="s">
        <v>1407</v>
      </c>
      <c r="C1761" t="s">
        <v>6315</v>
      </c>
      <c r="D1761" s="8" t="s">
        <v>6316</v>
      </c>
    </row>
    <row r="1762" spans="1:4" x14ac:dyDescent="0.35">
      <c r="A1762" t="s">
        <v>1408</v>
      </c>
      <c r="B1762" s="8" t="s">
        <v>1409</v>
      </c>
      <c r="C1762" t="s">
        <v>6576</v>
      </c>
      <c r="D1762" s="8" t="s">
        <v>6577</v>
      </c>
    </row>
    <row r="1763" spans="1:4" x14ac:dyDescent="0.35">
      <c r="A1763" t="s">
        <v>1408</v>
      </c>
      <c r="B1763" s="8" t="s">
        <v>1409</v>
      </c>
      <c r="C1763" t="s">
        <v>6315</v>
      </c>
      <c r="D1763" s="8" t="s">
        <v>6316</v>
      </c>
    </row>
    <row r="1764" spans="1:4" x14ac:dyDescent="0.35">
      <c r="A1764" t="s">
        <v>1410</v>
      </c>
      <c r="B1764" s="8" t="s">
        <v>1411</v>
      </c>
      <c r="C1764" t="s">
        <v>6576</v>
      </c>
      <c r="D1764" s="8" t="s">
        <v>6577</v>
      </c>
    </row>
    <row r="1765" spans="1:4" x14ac:dyDescent="0.35">
      <c r="A1765" t="s">
        <v>1410</v>
      </c>
      <c r="B1765" s="8" t="s">
        <v>1411</v>
      </c>
      <c r="C1765" t="s">
        <v>6315</v>
      </c>
      <c r="D1765" s="8" t="s">
        <v>6316</v>
      </c>
    </row>
    <row r="1766" spans="1:4" x14ac:dyDescent="0.35">
      <c r="A1766" t="s">
        <v>1412</v>
      </c>
      <c r="B1766" s="8" t="s">
        <v>1413</v>
      </c>
      <c r="C1766" t="s">
        <v>6576</v>
      </c>
      <c r="D1766" s="8" t="s">
        <v>6577</v>
      </c>
    </row>
    <row r="1767" spans="1:4" x14ac:dyDescent="0.35">
      <c r="A1767" t="s">
        <v>1412</v>
      </c>
      <c r="B1767" s="8" t="s">
        <v>1413</v>
      </c>
      <c r="C1767" t="s">
        <v>6315</v>
      </c>
      <c r="D1767" s="8" t="s">
        <v>6316</v>
      </c>
    </row>
    <row r="1768" spans="1:4" x14ac:dyDescent="0.35">
      <c r="A1768" t="s">
        <v>1414</v>
      </c>
      <c r="B1768" s="8" t="s">
        <v>1415</v>
      </c>
      <c r="C1768" t="s">
        <v>6576</v>
      </c>
      <c r="D1768" s="8" t="s">
        <v>6577</v>
      </c>
    </row>
    <row r="1769" spans="1:4" x14ac:dyDescent="0.35">
      <c r="A1769" t="s">
        <v>1414</v>
      </c>
      <c r="B1769" s="8" t="s">
        <v>1415</v>
      </c>
      <c r="C1769" t="s">
        <v>6315</v>
      </c>
      <c r="D1769" s="8" t="s">
        <v>6316</v>
      </c>
    </row>
    <row r="1770" spans="1:4" x14ac:dyDescent="0.35">
      <c r="A1770" t="s">
        <v>6757</v>
      </c>
      <c r="B1770" s="8" t="s">
        <v>1416</v>
      </c>
      <c r="C1770" t="s">
        <v>6576</v>
      </c>
      <c r="D1770" s="8" t="s">
        <v>6577</v>
      </c>
    </row>
    <row r="1771" spans="1:4" x14ac:dyDescent="0.35">
      <c r="A1771" t="s">
        <v>6757</v>
      </c>
      <c r="B1771" s="8" t="s">
        <v>1416</v>
      </c>
      <c r="C1771" t="s">
        <v>6514</v>
      </c>
      <c r="D1771" s="8" t="s">
        <v>6515</v>
      </c>
    </row>
    <row r="1772" spans="1:4" x14ac:dyDescent="0.35">
      <c r="A1772" t="s">
        <v>6757</v>
      </c>
      <c r="B1772" s="8" t="s">
        <v>1416</v>
      </c>
      <c r="C1772" t="s">
        <v>6315</v>
      </c>
      <c r="D1772" s="8" t="s">
        <v>6316</v>
      </c>
    </row>
    <row r="1773" spans="1:4" ht="29" x14ac:dyDescent="0.35">
      <c r="A1773" t="s">
        <v>1417</v>
      </c>
      <c r="B1773" s="8" t="s">
        <v>1418</v>
      </c>
      <c r="C1773" t="s">
        <v>6576</v>
      </c>
      <c r="D1773" s="8" t="s">
        <v>6577</v>
      </c>
    </row>
    <row r="1774" spans="1:4" ht="29" x14ac:dyDescent="0.35">
      <c r="A1774" t="s">
        <v>1417</v>
      </c>
      <c r="B1774" s="8" t="s">
        <v>1418</v>
      </c>
      <c r="C1774" t="s">
        <v>6514</v>
      </c>
      <c r="D1774" s="8" t="s">
        <v>6515</v>
      </c>
    </row>
    <row r="1775" spans="1:4" ht="29" x14ac:dyDescent="0.35">
      <c r="A1775" t="s">
        <v>1417</v>
      </c>
      <c r="B1775" s="8" t="s">
        <v>1418</v>
      </c>
      <c r="C1775" t="s">
        <v>6315</v>
      </c>
      <c r="D1775" s="8" t="s">
        <v>6316</v>
      </c>
    </row>
    <row r="1776" spans="1:4" x14ac:dyDescent="0.35">
      <c r="A1776" t="s">
        <v>1419</v>
      </c>
      <c r="B1776" s="8" t="s">
        <v>1420</v>
      </c>
      <c r="C1776" t="s">
        <v>6576</v>
      </c>
      <c r="D1776" s="8" t="s">
        <v>6577</v>
      </c>
    </row>
    <row r="1777" spans="1:4" x14ac:dyDescent="0.35">
      <c r="A1777" t="s">
        <v>1419</v>
      </c>
      <c r="B1777" s="8" t="s">
        <v>1420</v>
      </c>
      <c r="C1777" t="s">
        <v>6315</v>
      </c>
      <c r="D1777" s="8" t="s">
        <v>6316</v>
      </c>
    </row>
    <row r="1778" spans="1:4" x14ac:dyDescent="0.35">
      <c r="A1778" t="s">
        <v>1421</v>
      </c>
      <c r="B1778" s="8" t="s">
        <v>1422</v>
      </c>
      <c r="C1778" t="s">
        <v>6576</v>
      </c>
      <c r="D1778" s="8" t="s">
        <v>6577</v>
      </c>
    </row>
    <row r="1779" spans="1:4" x14ac:dyDescent="0.35">
      <c r="A1779" t="s">
        <v>1421</v>
      </c>
      <c r="B1779" s="8" t="s">
        <v>1422</v>
      </c>
      <c r="C1779" t="s">
        <v>6315</v>
      </c>
      <c r="D1779" s="8" t="s">
        <v>6316</v>
      </c>
    </row>
    <row r="1780" spans="1:4" x14ac:dyDescent="0.35">
      <c r="A1780" t="s">
        <v>1423</v>
      </c>
      <c r="B1780" s="8" t="s">
        <v>1424</v>
      </c>
      <c r="C1780" t="s">
        <v>6576</v>
      </c>
      <c r="D1780" s="8" t="s">
        <v>6577</v>
      </c>
    </row>
    <row r="1781" spans="1:4" x14ac:dyDescent="0.35">
      <c r="A1781" t="s">
        <v>1423</v>
      </c>
      <c r="B1781" s="8" t="s">
        <v>1424</v>
      </c>
      <c r="C1781" t="s">
        <v>6315</v>
      </c>
      <c r="D1781" s="8" t="s">
        <v>6316</v>
      </c>
    </row>
    <row r="1782" spans="1:4" x14ac:dyDescent="0.35">
      <c r="A1782" t="s">
        <v>1425</v>
      </c>
      <c r="B1782" s="8" t="s">
        <v>1426</v>
      </c>
      <c r="C1782" t="s">
        <v>6576</v>
      </c>
      <c r="D1782" s="8" t="s">
        <v>6577</v>
      </c>
    </row>
    <row r="1783" spans="1:4" x14ac:dyDescent="0.35">
      <c r="A1783" t="s">
        <v>1425</v>
      </c>
      <c r="B1783" s="8" t="s">
        <v>1426</v>
      </c>
      <c r="C1783" t="s">
        <v>6315</v>
      </c>
      <c r="D1783" s="8" t="s">
        <v>6316</v>
      </c>
    </row>
    <row r="1784" spans="1:4" ht="29" x14ac:dyDescent="0.35">
      <c r="A1784" t="s">
        <v>1427</v>
      </c>
      <c r="B1784" s="8" t="s">
        <v>1428</v>
      </c>
      <c r="C1784" t="s">
        <v>6576</v>
      </c>
      <c r="D1784" s="8" t="s">
        <v>6577</v>
      </c>
    </row>
    <row r="1785" spans="1:4" ht="29" x14ac:dyDescent="0.35">
      <c r="A1785" t="s">
        <v>1427</v>
      </c>
      <c r="B1785" s="8" t="s">
        <v>1428</v>
      </c>
      <c r="C1785" t="s">
        <v>6315</v>
      </c>
      <c r="D1785" s="8" t="s">
        <v>6316</v>
      </c>
    </row>
    <row r="1786" spans="1:4" x14ac:dyDescent="0.35">
      <c r="A1786" t="s">
        <v>1429</v>
      </c>
      <c r="B1786" s="8" t="s">
        <v>1430</v>
      </c>
      <c r="C1786" t="s">
        <v>6576</v>
      </c>
      <c r="D1786" s="8" t="s">
        <v>6577</v>
      </c>
    </row>
    <row r="1787" spans="1:4" x14ac:dyDescent="0.35">
      <c r="A1787" t="s">
        <v>1429</v>
      </c>
      <c r="B1787" s="8" t="s">
        <v>1430</v>
      </c>
      <c r="C1787" t="s">
        <v>6514</v>
      </c>
      <c r="D1787" s="8" t="s">
        <v>6515</v>
      </c>
    </row>
    <row r="1788" spans="1:4" x14ac:dyDescent="0.35">
      <c r="A1788" t="s">
        <v>1429</v>
      </c>
      <c r="B1788" s="8" t="s">
        <v>1430</v>
      </c>
      <c r="C1788" t="s">
        <v>6315</v>
      </c>
      <c r="D1788" s="8" t="s">
        <v>6316</v>
      </c>
    </row>
    <row r="1789" spans="1:4" x14ac:dyDescent="0.35">
      <c r="A1789" t="s">
        <v>1431</v>
      </c>
      <c r="B1789" s="8" t="s">
        <v>1432</v>
      </c>
      <c r="C1789" t="s">
        <v>6576</v>
      </c>
      <c r="D1789" s="8" t="s">
        <v>6577</v>
      </c>
    </row>
    <row r="1790" spans="1:4" x14ac:dyDescent="0.35">
      <c r="A1790" t="s">
        <v>1431</v>
      </c>
      <c r="B1790" s="8" t="s">
        <v>1432</v>
      </c>
      <c r="C1790" t="s">
        <v>6483</v>
      </c>
      <c r="D1790" s="8" t="s">
        <v>6484</v>
      </c>
    </row>
    <row r="1791" spans="1:4" x14ac:dyDescent="0.35">
      <c r="A1791" t="s">
        <v>1431</v>
      </c>
      <c r="B1791" s="8" t="s">
        <v>1432</v>
      </c>
      <c r="C1791" t="s">
        <v>6514</v>
      </c>
      <c r="D1791" s="8" t="s">
        <v>6515</v>
      </c>
    </row>
    <row r="1792" spans="1:4" x14ac:dyDescent="0.35">
      <c r="A1792" t="s">
        <v>1431</v>
      </c>
      <c r="B1792" s="8" t="s">
        <v>1432</v>
      </c>
      <c r="C1792" t="s">
        <v>6315</v>
      </c>
      <c r="D1792" s="8" t="s">
        <v>6316</v>
      </c>
    </row>
    <row r="1793" spans="1:4" x14ac:dyDescent="0.35">
      <c r="A1793" t="s">
        <v>1433</v>
      </c>
      <c r="B1793" s="8" t="s">
        <v>1434</v>
      </c>
      <c r="C1793" t="s">
        <v>6315</v>
      </c>
      <c r="D1793" s="8" t="s">
        <v>6316</v>
      </c>
    </row>
    <row r="1794" spans="1:4" x14ac:dyDescent="0.35">
      <c r="A1794" t="s">
        <v>1435</v>
      </c>
      <c r="B1794" s="8" t="s">
        <v>1436</v>
      </c>
      <c r="C1794" t="s">
        <v>6315</v>
      </c>
      <c r="D1794" s="8" t="s">
        <v>6316</v>
      </c>
    </row>
    <row r="1795" spans="1:4" x14ac:dyDescent="0.35">
      <c r="A1795" t="s">
        <v>6758</v>
      </c>
      <c r="B1795" s="8" t="s">
        <v>1437</v>
      </c>
      <c r="C1795" t="s">
        <v>6163</v>
      </c>
      <c r="D1795" s="8" t="s">
        <v>6164</v>
      </c>
    </row>
    <row r="1796" spans="1:4" x14ac:dyDescent="0.35">
      <c r="A1796" t="s">
        <v>6759</v>
      </c>
      <c r="B1796" s="8" t="s">
        <v>1438</v>
      </c>
      <c r="C1796" t="s">
        <v>6576</v>
      </c>
      <c r="D1796" s="8" t="s">
        <v>6577</v>
      </c>
    </row>
    <row r="1797" spans="1:4" x14ac:dyDescent="0.35">
      <c r="A1797" t="s">
        <v>6759</v>
      </c>
      <c r="B1797" s="8" t="s">
        <v>1438</v>
      </c>
      <c r="C1797" t="s">
        <v>6315</v>
      </c>
      <c r="D1797" s="8" t="s">
        <v>6316</v>
      </c>
    </row>
    <row r="1798" spans="1:4" x14ac:dyDescent="0.35">
      <c r="A1798" t="s">
        <v>1439</v>
      </c>
      <c r="B1798" s="8" t="s">
        <v>1440</v>
      </c>
      <c r="C1798" t="s">
        <v>6576</v>
      </c>
      <c r="D1798" s="8" t="s">
        <v>6577</v>
      </c>
    </row>
    <row r="1799" spans="1:4" x14ac:dyDescent="0.35">
      <c r="A1799" t="s">
        <v>1439</v>
      </c>
      <c r="B1799" s="8" t="s">
        <v>1440</v>
      </c>
      <c r="C1799" t="s">
        <v>6514</v>
      </c>
      <c r="D1799" s="8" t="s">
        <v>6515</v>
      </c>
    </row>
    <row r="1800" spans="1:4" x14ac:dyDescent="0.35">
      <c r="A1800" t="s">
        <v>1439</v>
      </c>
      <c r="B1800" s="8" t="s">
        <v>1440</v>
      </c>
      <c r="C1800" t="s">
        <v>6315</v>
      </c>
      <c r="D1800" s="8" t="s">
        <v>6316</v>
      </c>
    </row>
    <row r="1801" spans="1:4" x14ac:dyDescent="0.35">
      <c r="A1801" t="s">
        <v>1443</v>
      </c>
      <c r="B1801" s="8" t="s">
        <v>1444</v>
      </c>
      <c r="C1801" t="s">
        <v>6578</v>
      </c>
      <c r="D1801" s="8" t="s">
        <v>6579</v>
      </c>
    </row>
    <row r="1802" spans="1:4" x14ac:dyDescent="0.35">
      <c r="A1802" t="s">
        <v>1443</v>
      </c>
      <c r="B1802" s="8" t="s">
        <v>1444</v>
      </c>
      <c r="C1802" t="s">
        <v>6514</v>
      </c>
      <c r="D1802" s="8" t="s">
        <v>6515</v>
      </c>
    </row>
    <row r="1803" spans="1:4" x14ac:dyDescent="0.35">
      <c r="A1803" t="s">
        <v>1443</v>
      </c>
      <c r="B1803" s="8" t="s">
        <v>1444</v>
      </c>
      <c r="C1803" t="s">
        <v>6125</v>
      </c>
      <c r="D1803" s="8" t="s">
        <v>6126</v>
      </c>
    </row>
    <row r="1804" spans="1:4" x14ac:dyDescent="0.35">
      <c r="A1804" t="s">
        <v>1445</v>
      </c>
      <c r="B1804" s="8" t="s">
        <v>1446</v>
      </c>
      <c r="C1804" t="s">
        <v>6578</v>
      </c>
      <c r="D1804" s="8" t="s">
        <v>6579</v>
      </c>
    </row>
    <row r="1805" spans="1:4" x14ac:dyDescent="0.35">
      <c r="A1805" t="s">
        <v>1445</v>
      </c>
      <c r="B1805" s="8" t="s">
        <v>1446</v>
      </c>
      <c r="C1805" t="s">
        <v>6125</v>
      </c>
      <c r="D1805" s="8" t="s">
        <v>6126</v>
      </c>
    </row>
    <row r="1806" spans="1:4" x14ac:dyDescent="0.35">
      <c r="A1806" t="s">
        <v>1447</v>
      </c>
      <c r="B1806" s="8" t="s">
        <v>1448</v>
      </c>
      <c r="C1806" t="s">
        <v>6578</v>
      </c>
      <c r="D1806" s="8" t="s">
        <v>6579</v>
      </c>
    </row>
    <row r="1807" spans="1:4" x14ac:dyDescent="0.35">
      <c r="A1807" t="s">
        <v>1447</v>
      </c>
      <c r="B1807" s="8" t="s">
        <v>1448</v>
      </c>
      <c r="C1807" t="s">
        <v>6329</v>
      </c>
      <c r="D1807" s="8" t="s">
        <v>6330</v>
      </c>
    </row>
    <row r="1808" spans="1:4" x14ac:dyDescent="0.35">
      <c r="A1808" t="s">
        <v>1447</v>
      </c>
      <c r="B1808" s="8" t="s">
        <v>1448</v>
      </c>
      <c r="C1808" t="s">
        <v>6366</v>
      </c>
      <c r="D1808" s="8" t="s">
        <v>6367</v>
      </c>
    </row>
    <row r="1809" spans="1:4" x14ac:dyDescent="0.35">
      <c r="A1809" t="s">
        <v>1447</v>
      </c>
      <c r="B1809" s="8" t="s">
        <v>1448</v>
      </c>
      <c r="C1809" t="s">
        <v>6333</v>
      </c>
      <c r="D1809" s="8" t="s">
        <v>6334</v>
      </c>
    </row>
    <row r="1810" spans="1:4" x14ac:dyDescent="0.35">
      <c r="A1810" t="s">
        <v>1449</v>
      </c>
      <c r="B1810" s="8" t="s">
        <v>1450</v>
      </c>
      <c r="C1810" t="s">
        <v>6760</v>
      </c>
      <c r="D1810" s="8" t="s">
        <v>6761</v>
      </c>
    </row>
    <row r="1811" spans="1:4" x14ac:dyDescent="0.35">
      <c r="A1811" t="s">
        <v>1449</v>
      </c>
      <c r="B1811" s="8" t="s">
        <v>1450</v>
      </c>
      <c r="C1811" t="s">
        <v>6762</v>
      </c>
      <c r="D1811" s="8" t="s">
        <v>6763</v>
      </c>
    </row>
    <row r="1812" spans="1:4" x14ac:dyDescent="0.35">
      <c r="A1812" t="s">
        <v>1449</v>
      </c>
      <c r="B1812" s="8" t="s">
        <v>1450</v>
      </c>
      <c r="C1812" t="s">
        <v>6764</v>
      </c>
      <c r="D1812" s="8" t="s">
        <v>6765</v>
      </c>
    </row>
    <row r="1813" spans="1:4" x14ac:dyDescent="0.35">
      <c r="A1813" t="s">
        <v>1449</v>
      </c>
      <c r="B1813" s="8" t="s">
        <v>1450</v>
      </c>
      <c r="C1813" t="s">
        <v>6125</v>
      </c>
      <c r="D1813" s="8" t="s">
        <v>6126</v>
      </c>
    </row>
    <row r="1814" spans="1:4" x14ac:dyDescent="0.35">
      <c r="A1814" t="s">
        <v>1449</v>
      </c>
      <c r="B1814" s="8" t="s">
        <v>1450</v>
      </c>
      <c r="C1814" t="s">
        <v>6174</v>
      </c>
      <c r="D1814" s="8" t="s">
        <v>6175</v>
      </c>
    </row>
    <row r="1815" spans="1:4" x14ac:dyDescent="0.35">
      <c r="A1815" t="s">
        <v>1451</v>
      </c>
      <c r="B1815" s="8" t="s">
        <v>1452</v>
      </c>
      <c r="C1815" t="s">
        <v>6578</v>
      </c>
      <c r="D1815" s="8" t="s">
        <v>6579</v>
      </c>
    </row>
    <row r="1816" spans="1:4" x14ac:dyDescent="0.35">
      <c r="A1816" t="s">
        <v>1453</v>
      </c>
      <c r="B1816" s="8" t="s">
        <v>1454</v>
      </c>
      <c r="C1816" t="s">
        <v>6766</v>
      </c>
      <c r="D1816" s="8" t="s">
        <v>6767</v>
      </c>
    </row>
    <row r="1817" spans="1:4" x14ac:dyDescent="0.35">
      <c r="A1817" t="s">
        <v>1453</v>
      </c>
      <c r="B1817" s="8" t="s">
        <v>1454</v>
      </c>
      <c r="C1817" t="s">
        <v>6578</v>
      </c>
      <c r="D1817" s="8" t="s">
        <v>6579</v>
      </c>
    </row>
    <row r="1818" spans="1:4" x14ac:dyDescent="0.35">
      <c r="A1818" t="s">
        <v>1453</v>
      </c>
      <c r="B1818" s="8" t="s">
        <v>1454</v>
      </c>
      <c r="C1818" t="s">
        <v>6125</v>
      </c>
      <c r="D1818" s="8" t="s">
        <v>6126</v>
      </c>
    </row>
    <row r="1819" spans="1:4" x14ac:dyDescent="0.35">
      <c r="A1819" t="s">
        <v>1455</v>
      </c>
      <c r="B1819" s="8" t="s">
        <v>1456</v>
      </c>
      <c r="C1819" t="s">
        <v>6578</v>
      </c>
      <c r="D1819" s="8" t="s">
        <v>6579</v>
      </c>
    </row>
    <row r="1820" spans="1:4" x14ac:dyDescent="0.35">
      <c r="A1820" t="s">
        <v>1455</v>
      </c>
      <c r="B1820" s="8" t="s">
        <v>1456</v>
      </c>
      <c r="C1820" t="s">
        <v>6125</v>
      </c>
      <c r="D1820" s="8" t="s">
        <v>6126</v>
      </c>
    </row>
    <row r="1821" spans="1:4" x14ac:dyDescent="0.35">
      <c r="A1821" t="s">
        <v>1457</v>
      </c>
      <c r="B1821" s="8" t="s">
        <v>1458</v>
      </c>
      <c r="C1821" t="s">
        <v>6578</v>
      </c>
      <c r="D1821" s="8" t="s">
        <v>6579</v>
      </c>
    </row>
    <row r="1822" spans="1:4" x14ac:dyDescent="0.35">
      <c r="A1822" t="s">
        <v>1457</v>
      </c>
      <c r="B1822" s="8" t="s">
        <v>1458</v>
      </c>
      <c r="C1822" t="s">
        <v>6125</v>
      </c>
      <c r="D1822" s="8" t="s">
        <v>6126</v>
      </c>
    </row>
    <row r="1823" spans="1:4" x14ac:dyDescent="0.35">
      <c r="A1823" t="s">
        <v>1459</v>
      </c>
      <c r="B1823" s="8" t="s">
        <v>1460</v>
      </c>
      <c r="C1823" t="s">
        <v>6578</v>
      </c>
      <c r="D1823" s="8" t="s">
        <v>6579</v>
      </c>
    </row>
    <row r="1824" spans="1:4" x14ac:dyDescent="0.35">
      <c r="A1824" t="s">
        <v>1459</v>
      </c>
      <c r="B1824" s="8" t="s">
        <v>1460</v>
      </c>
      <c r="C1824" t="s">
        <v>6125</v>
      </c>
      <c r="D1824" s="8" t="s">
        <v>6126</v>
      </c>
    </row>
    <row r="1825" spans="1:4" x14ac:dyDescent="0.35">
      <c r="A1825" t="s">
        <v>1461</v>
      </c>
      <c r="B1825" s="8" t="s">
        <v>1462</v>
      </c>
      <c r="C1825" t="s">
        <v>6578</v>
      </c>
      <c r="D1825" s="8" t="s">
        <v>6579</v>
      </c>
    </row>
    <row r="1826" spans="1:4" x14ac:dyDescent="0.35">
      <c r="A1826" t="s">
        <v>1461</v>
      </c>
      <c r="B1826" s="8" t="s">
        <v>1462</v>
      </c>
      <c r="C1826" t="s">
        <v>6768</v>
      </c>
      <c r="D1826" s="8" t="s">
        <v>6769</v>
      </c>
    </row>
    <row r="1827" spans="1:4" x14ac:dyDescent="0.35">
      <c r="A1827" t="s">
        <v>1461</v>
      </c>
      <c r="B1827" s="8" t="s">
        <v>1462</v>
      </c>
      <c r="C1827" t="s">
        <v>6770</v>
      </c>
      <c r="D1827" s="8" t="s">
        <v>6771</v>
      </c>
    </row>
    <row r="1828" spans="1:4" x14ac:dyDescent="0.35">
      <c r="A1828" t="s">
        <v>1463</v>
      </c>
      <c r="B1828" s="8" t="s">
        <v>1464</v>
      </c>
      <c r="C1828" t="s">
        <v>6578</v>
      </c>
      <c r="D1828" s="8" t="s">
        <v>6579</v>
      </c>
    </row>
    <row r="1829" spans="1:4" x14ac:dyDescent="0.35">
      <c r="A1829" t="s">
        <v>1463</v>
      </c>
      <c r="B1829" s="8" t="s">
        <v>1464</v>
      </c>
      <c r="C1829" t="s">
        <v>6768</v>
      </c>
      <c r="D1829" s="8" t="s">
        <v>6769</v>
      </c>
    </row>
    <row r="1830" spans="1:4" x14ac:dyDescent="0.35">
      <c r="A1830" t="s">
        <v>1465</v>
      </c>
      <c r="B1830" s="8" t="s">
        <v>1466</v>
      </c>
      <c r="C1830" t="s">
        <v>6477</v>
      </c>
      <c r="D1830" s="8" t="s">
        <v>6478</v>
      </c>
    </row>
    <row r="1831" spans="1:4" x14ac:dyDescent="0.35">
      <c r="A1831" t="s">
        <v>1465</v>
      </c>
      <c r="B1831" s="8" t="s">
        <v>1466</v>
      </c>
      <c r="C1831" t="s">
        <v>6578</v>
      </c>
      <c r="D1831" s="8" t="s">
        <v>6579</v>
      </c>
    </row>
    <row r="1832" spans="1:4" x14ac:dyDescent="0.35">
      <c r="A1832" t="s">
        <v>1465</v>
      </c>
      <c r="B1832" s="8" t="s">
        <v>1466</v>
      </c>
      <c r="C1832" t="s">
        <v>6768</v>
      </c>
      <c r="D1832" s="8" t="s">
        <v>6769</v>
      </c>
    </row>
    <row r="1833" spans="1:4" x14ac:dyDescent="0.35">
      <c r="A1833" t="s">
        <v>1465</v>
      </c>
      <c r="B1833" s="8" t="s">
        <v>1466</v>
      </c>
      <c r="C1833" t="s">
        <v>6463</v>
      </c>
      <c r="D1833" s="8" t="s">
        <v>6464</v>
      </c>
    </row>
    <row r="1834" spans="1:4" x14ac:dyDescent="0.35">
      <c r="A1834" t="s">
        <v>1465</v>
      </c>
      <c r="B1834" s="8" t="s">
        <v>1466</v>
      </c>
      <c r="C1834" t="s">
        <v>6465</v>
      </c>
      <c r="D1834" s="8" t="s">
        <v>6466</v>
      </c>
    </row>
    <row r="1835" spans="1:4" x14ac:dyDescent="0.35">
      <c r="A1835" t="s">
        <v>1467</v>
      </c>
      <c r="B1835" s="8" t="s">
        <v>1468</v>
      </c>
      <c r="C1835" t="s">
        <v>6578</v>
      </c>
      <c r="D1835" s="8" t="s">
        <v>6579</v>
      </c>
    </row>
    <row r="1836" spans="1:4" x14ac:dyDescent="0.35">
      <c r="A1836" t="s">
        <v>1467</v>
      </c>
      <c r="B1836" s="8" t="s">
        <v>1468</v>
      </c>
      <c r="C1836" t="s">
        <v>6768</v>
      </c>
      <c r="D1836" s="8" t="s">
        <v>6769</v>
      </c>
    </row>
    <row r="1837" spans="1:4" x14ac:dyDescent="0.35">
      <c r="A1837" t="s">
        <v>1469</v>
      </c>
      <c r="B1837" s="8" t="s">
        <v>1470</v>
      </c>
      <c r="C1837" t="s">
        <v>6578</v>
      </c>
      <c r="D1837" s="8" t="s">
        <v>6579</v>
      </c>
    </row>
    <row r="1838" spans="1:4" x14ac:dyDescent="0.35">
      <c r="A1838" t="s">
        <v>1469</v>
      </c>
      <c r="B1838" s="8" t="s">
        <v>1470</v>
      </c>
      <c r="C1838" t="s">
        <v>6125</v>
      </c>
      <c r="D1838" s="8" t="s">
        <v>6126</v>
      </c>
    </row>
    <row r="1839" spans="1:4" x14ac:dyDescent="0.35">
      <c r="A1839" t="s">
        <v>1471</v>
      </c>
      <c r="B1839" s="8" t="s">
        <v>1472</v>
      </c>
      <c r="C1839" t="s">
        <v>6740</v>
      </c>
      <c r="D1839" s="8" t="s">
        <v>6741</v>
      </c>
    </row>
    <row r="1840" spans="1:4" x14ac:dyDescent="0.35">
      <c r="A1840" t="s">
        <v>1471</v>
      </c>
      <c r="B1840" s="8" t="s">
        <v>1472</v>
      </c>
      <c r="C1840" t="s">
        <v>6772</v>
      </c>
      <c r="D1840" s="8" t="s">
        <v>6773</v>
      </c>
    </row>
    <row r="1841" spans="1:4" x14ac:dyDescent="0.35">
      <c r="A1841" t="s">
        <v>1471</v>
      </c>
      <c r="B1841" s="8" t="s">
        <v>1472</v>
      </c>
      <c r="C1841" t="s">
        <v>6291</v>
      </c>
      <c r="D1841" s="8" t="s">
        <v>6292</v>
      </c>
    </row>
    <row r="1842" spans="1:4" x14ac:dyDescent="0.35">
      <c r="A1842" t="s">
        <v>1473</v>
      </c>
      <c r="B1842" s="8" t="s">
        <v>1474</v>
      </c>
      <c r="C1842" t="s">
        <v>6125</v>
      </c>
      <c r="D1842" s="8" t="s">
        <v>6126</v>
      </c>
    </row>
    <row r="1843" spans="1:4" x14ac:dyDescent="0.35">
      <c r="A1843" t="s">
        <v>1475</v>
      </c>
      <c r="B1843" s="8" t="s">
        <v>1476</v>
      </c>
      <c r="C1843" t="s">
        <v>6291</v>
      </c>
      <c r="D1843" s="8" t="s">
        <v>6292</v>
      </c>
    </row>
    <row r="1844" spans="1:4" x14ac:dyDescent="0.35">
      <c r="A1844" t="s">
        <v>1477</v>
      </c>
      <c r="B1844" s="8" t="s">
        <v>1478</v>
      </c>
      <c r="C1844" t="s">
        <v>6578</v>
      </c>
      <c r="D1844" s="8" t="s">
        <v>6579</v>
      </c>
    </row>
    <row r="1845" spans="1:4" x14ac:dyDescent="0.35">
      <c r="A1845" t="s">
        <v>1479</v>
      </c>
      <c r="B1845" s="8" t="s">
        <v>1480</v>
      </c>
      <c r="C1845" t="s">
        <v>6774</v>
      </c>
      <c r="D1845" s="8" t="s">
        <v>6775</v>
      </c>
    </row>
    <row r="1846" spans="1:4" x14ac:dyDescent="0.35">
      <c r="A1846" t="s">
        <v>1479</v>
      </c>
      <c r="B1846" s="8" t="s">
        <v>1480</v>
      </c>
      <c r="C1846" t="s">
        <v>6268</v>
      </c>
      <c r="D1846" s="8" t="s">
        <v>6269</v>
      </c>
    </row>
    <row r="1847" spans="1:4" x14ac:dyDescent="0.35">
      <c r="A1847" t="s">
        <v>1479</v>
      </c>
      <c r="B1847" s="8" t="s">
        <v>1480</v>
      </c>
      <c r="C1847" t="s">
        <v>6578</v>
      </c>
      <c r="D1847" s="8" t="s">
        <v>6579</v>
      </c>
    </row>
    <row r="1848" spans="1:4" x14ac:dyDescent="0.35">
      <c r="A1848" t="s">
        <v>1481</v>
      </c>
      <c r="B1848" s="8" t="s">
        <v>1482</v>
      </c>
      <c r="C1848" t="s">
        <v>6578</v>
      </c>
      <c r="D1848" s="8" t="s">
        <v>6579</v>
      </c>
    </row>
    <row r="1849" spans="1:4" x14ac:dyDescent="0.35">
      <c r="A1849" t="s">
        <v>1481</v>
      </c>
      <c r="B1849" s="8" t="s">
        <v>1482</v>
      </c>
      <c r="C1849" t="s">
        <v>6125</v>
      </c>
      <c r="D1849" s="8" t="s">
        <v>6126</v>
      </c>
    </row>
    <row r="1850" spans="1:4" x14ac:dyDescent="0.35">
      <c r="A1850" t="s">
        <v>1483</v>
      </c>
      <c r="B1850" s="8" t="s">
        <v>1484</v>
      </c>
      <c r="C1850" t="s">
        <v>6774</v>
      </c>
      <c r="D1850" s="8" t="s">
        <v>6775</v>
      </c>
    </row>
    <row r="1851" spans="1:4" x14ac:dyDescent="0.35">
      <c r="A1851" t="s">
        <v>1483</v>
      </c>
      <c r="B1851" s="8" t="s">
        <v>1484</v>
      </c>
      <c r="C1851" t="s">
        <v>6578</v>
      </c>
      <c r="D1851" s="8" t="s">
        <v>6579</v>
      </c>
    </row>
    <row r="1852" spans="1:4" x14ac:dyDescent="0.35">
      <c r="A1852" t="s">
        <v>1483</v>
      </c>
      <c r="B1852" s="8" t="s">
        <v>1484</v>
      </c>
      <c r="C1852" t="s">
        <v>6506</v>
      </c>
      <c r="D1852" s="8" t="s">
        <v>6507</v>
      </c>
    </row>
    <row r="1853" spans="1:4" x14ac:dyDescent="0.35">
      <c r="A1853" t="s">
        <v>1483</v>
      </c>
      <c r="B1853" s="8" t="s">
        <v>1484</v>
      </c>
      <c r="C1853" t="s">
        <v>6125</v>
      </c>
      <c r="D1853" s="8" t="s">
        <v>6126</v>
      </c>
    </row>
    <row r="1854" spans="1:4" ht="29" x14ac:dyDescent="0.35">
      <c r="A1854" t="s">
        <v>1483</v>
      </c>
      <c r="B1854" s="8" t="s">
        <v>1484</v>
      </c>
      <c r="C1854" t="s">
        <v>6502</v>
      </c>
      <c r="D1854" s="8" t="s">
        <v>6503</v>
      </c>
    </row>
    <row r="1855" spans="1:4" x14ac:dyDescent="0.35">
      <c r="A1855" t="s">
        <v>1483</v>
      </c>
      <c r="B1855" s="8" t="s">
        <v>1484</v>
      </c>
      <c r="C1855" t="s">
        <v>6504</v>
      </c>
      <c r="D1855" s="8" t="s">
        <v>6505</v>
      </c>
    </row>
    <row r="1856" spans="1:4" x14ac:dyDescent="0.35">
      <c r="A1856" t="s">
        <v>1483</v>
      </c>
      <c r="B1856" s="8" t="s">
        <v>1484</v>
      </c>
      <c r="C1856" t="s">
        <v>6776</v>
      </c>
      <c r="D1856" s="8" t="s">
        <v>6777</v>
      </c>
    </row>
    <row r="1857" spans="1:4" x14ac:dyDescent="0.35">
      <c r="A1857" t="s">
        <v>1485</v>
      </c>
      <c r="B1857" s="8" t="s">
        <v>1486</v>
      </c>
      <c r="C1857" t="s">
        <v>6125</v>
      </c>
      <c r="D1857" s="8" t="s">
        <v>6126</v>
      </c>
    </row>
    <row r="1858" spans="1:4" x14ac:dyDescent="0.35">
      <c r="A1858" t="s">
        <v>1487</v>
      </c>
      <c r="B1858" s="8" t="s">
        <v>1488</v>
      </c>
      <c r="C1858" t="s">
        <v>6578</v>
      </c>
      <c r="D1858" s="8" t="s">
        <v>6579</v>
      </c>
    </row>
    <row r="1859" spans="1:4" x14ac:dyDescent="0.35">
      <c r="A1859" t="s">
        <v>1487</v>
      </c>
      <c r="B1859" s="8" t="s">
        <v>1488</v>
      </c>
      <c r="C1859" t="s">
        <v>6506</v>
      </c>
      <c r="D1859" s="8" t="s">
        <v>6507</v>
      </c>
    </row>
    <row r="1860" spans="1:4" x14ac:dyDescent="0.35">
      <c r="A1860" t="s">
        <v>1489</v>
      </c>
      <c r="B1860" s="8" t="s">
        <v>1490</v>
      </c>
      <c r="C1860" t="s">
        <v>6776</v>
      </c>
      <c r="D1860" s="8" t="s">
        <v>6777</v>
      </c>
    </row>
    <row r="1861" spans="1:4" x14ac:dyDescent="0.35">
      <c r="A1861" t="s">
        <v>1491</v>
      </c>
      <c r="B1861" s="8" t="s">
        <v>1492</v>
      </c>
      <c r="C1861" t="s">
        <v>6778</v>
      </c>
      <c r="D1861" s="8" t="s">
        <v>6779</v>
      </c>
    </row>
    <row r="1862" spans="1:4" x14ac:dyDescent="0.35">
      <c r="A1862" t="s">
        <v>1491</v>
      </c>
      <c r="B1862" s="8" t="s">
        <v>1492</v>
      </c>
      <c r="C1862" t="s">
        <v>6780</v>
      </c>
      <c r="D1862" s="8" t="s">
        <v>6781</v>
      </c>
    </row>
    <row r="1863" spans="1:4" x14ac:dyDescent="0.35">
      <c r="A1863" t="s">
        <v>6782</v>
      </c>
      <c r="B1863" s="8" t="s">
        <v>1493</v>
      </c>
      <c r="C1863" t="s">
        <v>6774</v>
      </c>
      <c r="D1863" s="8" t="s">
        <v>6775</v>
      </c>
    </row>
    <row r="1864" spans="1:4" x14ac:dyDescent="0.35">
      <c r="A1864" t="s">
        <v>6782</v>
      </c>
      <c r="B1864" s="8" t="s">
        <v>1493</v>
      </c>
      <c r="C1864" t="s">
        <v>6780</v>
      </c>
      <c r="D1864" s="8" t="s">
        <v>6781</v>
      </c>
    </row>
    <row r="1865" spans="1:4" x14ac:dyDescent="0.35">
      <c r="A1865" t="s">
        <v>6782</v>
      </c>
      <c r="B1865" s="8" t="s">
        <v>1493</v>
      </c>
      <c r="C1865" t="s">
        <v>6125</v>
      </c>
      <c r="D1865" s="8" t="s">
        <v>6126</v>
      </c>
    </row>
    <row r="1866" spans="1:4" x14ac:dyDescent="0.35">
      <c r="A1866" t="s">
        <v>6782</v>
      </c>
      <c r="B1866" s="8" t="s">
        <v>1493</v>
      </c>
      <c r="C1866" t="s">
        <v>6776</v>
      </c>
      <c r="D1866" s="8" t="s">
        <v>6777</v>
      </c>
    </row>
    <row r="1867" spans="1:4" x14ac:dyDescent="0.35">
      <c r="A1867" t="s">
        <v>6783</v>
      </c>
      <c r="B1867" s="8" t="s">
        <v>1494</v>
      </c>
      <c r="C1867" t="s">
        <v>6780</v>
      </c>
      <c r="D1867" s="8" t="s">
        <v>6781</v>
      </c>
    </row>
    <row r="1868" spans="1:4" x14ac:dyDescent="0.35">
      <c r="A1868" t="s">
        <v>6783</v>
      </c>
      <c r="B1868" s="8" t="s">
        <v>1494</v>
      </c>
      <c r="C1868" t="s">
        <v>6125</v>
      </c>
      <c r="D1868" s="8" t="s">
        <v>6126</v>
      </c>
    </row>
    <row r="1869" spans="1:4" x14ac:dyDescent="0.35">
      <c r="A1869" t="s">
        <v>1495</v>
      </c>
      <c r="B1869" s="8" t="s">
        <v>1496</v>
      </c>
      <c r="C1869" t="s">
        <v>6163</v>
      </c>
      <c r="D1869" s="8" t="s">
        <v>6164</v>
      </c>
    </row>
    <row r="1870" spans="1:4" x14ac:dyDescent="0.35">
      <c r="A1870" t="s">
        <v>1497</v>
      </c>
      <c r="B1870" s="8" t="s">
        <v>1498</v>
      </c>
      <c r="C1870" t="s">
        <v>6578</v>
      </c>
      <c r="D1870" s="8" t="s">
        <v>6579</v>
      </c>
    </row>
    <row r="1871" spans="1:4" x14ac:dyDescent="0.35">
      <c r="A1871" t="s">
        <v>1497</v>
      </c>
      <c r="B1871" s="8" t="s">
        <v>1498</v>
      </c>
      <c r="C1871" t="s">
        <v>6125</v>
      </c>
      <c r="D1871" s="8" t="s">
        <v>6126</v>
      </c>
    </row>
    <row r="1872" spans="1:4" x14ac:dyDescent="0.35">
      <c r="A1872" t="s">
        <v>1499</v>
      </c>
      <c r="B1872" s="8" t="s">
        <v>1500</v>
      </c>
      <c r="C1872" t="s">
        <v>6578</v>
      </c>
      <c r="D1872" s="8" t="s">
        <v>6579</v>
      </c>
    </row>
    <row r="1873" spans="1:4" x14ac:dyDescent="0.35">
      <c r="A1873" t="s">
        <v>1499</v>
      </c>
      <c r="B1873" s="8" t="s">
        <v>1500</v>
      </c>
      <c r="C1873" t="s">
        <v>6784</v>
      </c>
      <c r="D1873" s="8" t="s">
        <v>6785</v>
      </c>
    </row>
    <row r="1874" spans="1:4" x14ac:dyDescent="0.35">
      <c r="A1874" t="s">
        <v>1499</v>
      </c>
      <c r="B1874" s="8" t="s">
        <v>1500</v>
      </c>
      <c r="C1874" t="s">
        <v>6786</v>
      </c>
      <c r="D1874" s="8" t="s">
        <v>6787</v>
      </c>
    </row>
    <row r="1875" spans="1:4" x14ac:dyDescent="0.35">
      <c r="A1875" t="s">
        <v>1501</v>
      </c>
      <c r="B1875" s="8" t="s">
        <v>1502</v>
      </c>
      <c r="C1875" t="s">
        <v>6788</v>
      </c>
      <c r="D1875" s="8" t="s">
        <v>6789</v>
      </c>
    </row>
    <row r="1876" spans="1:4" x14ac:dyDescent="0.35">
      <c r="A1876" t="s">
        <v>1501</v>
      </c>
      <c r="B1876" s="8" t="s">
        <v>1502</v>
      </c>
      <c r="C1876" t="s">
        <v>6578</v>
      </c>
      <c r="D1876" s="8" t="s">
        <v>6579</v>
      </c>
    </row>
    <row r="1877" spans="1:4" x14ac:dyDescent="0.35">
      <c r="A1877" t="s">
        <v>1501</v>
      </c>
      <c r="B1877" s="8" t="s">
        <v>1502</v>
      </c>
      <c r="C1877" t="s">
        <v>6784</v>
      </c>
      <c r="D1877" s="8" t="s">
        <v>6785</v>
      </c>
    </row>
    <row r="1878" spans="1:4" x14ac:dyDescent="0.35">
      <c r="A1878" t="s">
        <v>1501</v>
      </c>
      <c r="B1878" s="8" t="s">
        <v>1502</v>
      </c>
      <c r="C1878" t="s">
        <v>6291</v>
      </c>
      <c r="D1878" s="8" t="s">
        <v>6292</v>
      </c>
    </row>
    <row r="1879" spans="1:4" x14ac:dyDescent="0.35">
      <c r="A1879" t="s">
        <v>1503</v>
      </c>
      <c r="B1879" s="8" t="s">
        <v>1504</v>
      </c>
      <c r="C1879" t="s">
        <v>6760</v>
      </c>
      <c r="D1879" s="8" t="s">
        <v>6761</v>
      </c>
    </row>
    <row r="1880" spans="1:4" x14ac:dyDescent="0.35">
      <c r="A1880" t="s">
        <v>1503</v>
      </c>
      <c r="B1880" s="8" t="s">
        <v>1504</v>
      </c>
      <c r="C1880" t="s">
        <v>6485</v>
      </c>
      <c r="D1880" s="8" t="s">
        <v>6486</v>
      </c>
    </row>
    <row r="1881" spans="1:4" x14ac:dyDescent="0.35">
      <c r="A1881" t="s">
        <v>1503</v>
      </c>
      <c r="B1881" s="8" t="s">
        <v>1504</v>
      </c>
      <c r="C1881" t="s">
        <v>6764</v>
      </c>
      <c r="D1881" s="8" t="s">
        <v>6765</v>
      </c>
    </row>
    <row r="1882" spans="1:4" x14ac:dyDescent="0.35">
      <c r="A1882" t="s">
        <v>1505</v>
      </c>
      <c r="B1882" s="8" t="s">
        <v>1506</v>
      </c>
      <c r="C1882" t="s">
        <v>6784</v>
      </c>
      <c r="D1882" s="8" t="s">
        <v>6785</v>
      </c>
    </row>
    <row r="1883" spans="1:4" x14ac:dyDescent="0.35">
      <c r="A1883" t="s">
        <v>1507</v>
      </c>
      <c r="B1883" s="8" t="s">
        <v>1508</v>
      </c>
      <c r="C1883" t="s">
        <v>6163</v>
      </c>
      <c r="D1883" s="8" t="s">
        <v>6164</v>
      </c>
    </row>
    <row r="1884" spans="1:4" x14ac:dyDescent="0.35">
      <c r="A1884" t="s">
        <v>6790</v>
      </c>
      <c r="B1884" s="8" t="s">
        <v>1442</v>
      </c>
      <c r="C1884" t="s">
        <v>6286</v>
      </c>
      <c r="D1884" s="8" t="s">
        <v>6287</v>
      </c>
    </row>
    <row r="1885" spans="1:4" x14ac:dyDescent="0.35">
      <c r="A1885" t="s">
        <v>6790</v>
      </c>
      <c r="B1885" s="8" t="s">
        <v>1442</v>
      </c>
      <c r="C1885" t="s">
        <v>6578</v>
      </c>
      <c r="D1885" s="8" t="s">
        <v>6579</v>
      </c>
    </row>
    <row r="1886" spans="1:4" x14ac:dyDescent="0.35">
      <c r="A1886" t="s">
        <v>1509</v>
      </c>
      <c r="B1886" s="8" t="s">
        <v>1510</v>
      </c>
      <c r="C1886" t="s">
        <v>6163</v>
      </c>
      <c r="D1886" s="8" t="s">
        <v>6164</v>
      </c>
    </row>
    <row r="1887" spans="1:4" x14ac:dyDescent="0.35">
      <c r="A1887" t="s">
        <v>1511</v>
      </c>
      <c r="B1887" s="8" t="s">
        <v>1513</v>
      </c>
      <c r="C1887" t="s">
        <v>6791</v>
      </c>
      <c r="D1887" s="8" t="s">
        <v>6792</v>
      </c>
    </row>
    <row r="1888" spans="1:4" x14ac:dyDescent="0.35">
      <c r="A1888" t="s">
        <v>1511</v>
      </c>
      <c r="B1888" s="8" t="s">
        <v>1513</v>
      </c>
      <c r="C1888" t="s">
        <v>6793</v>
      </c>
      <c r="D1888" s="8" t="s">
        <v>6794</v>
      </c>
    </row>
    <row r="1889" spans="1:4" x14ac:dyDescent="0.35">
      <c r="A1889" t="s">
        <v>1514</v>
      </c>
      <c r="B1889" s="8" t="s">
        <v>1515</v>
      </c>
      <c r="C1889" t="s">
        <v>6163</v>
      </c>
      <c r="D1889" s="8" t="s">
        <v>6164</v>
      </c>
    </row>
    <row r="1890" spans="1:4" x14ac:dyDescent="0.35">
      <c r="A1890" t="s">
        <v>6795</v>
      </c>
      <c r="B1890" s="8" t="s">
        <v>1516</v>
      </c>
      <c r="C1890" t="s">
        <v>6163</v>
      </c>
      <c r="D1890" s="8" t="s">
        <v>6164</v>
      </c>
    </row>
    <row r="1891" spans="1:4" x14ac:dyDescent="0.35">
      <c r="A1891" t="s">
        <v>1517</v>
      </c>
      <c r="B1891" s="8" t="s">
        <v>1518</v>
      </c>
      <c r="C1891" t="s">
        <v>6796</v>
      </c>
      <c r="D1891" s="8" t="s">
        <v>6797</v>
      </c>
    </row>
    <row r="1892" spans="1:4" x14ac:dyDescent="0.35">
      <c r="A1892" t="s">
        <v>1517</v>
      </c>
      <c r="B1892" s="8" t="s">
        <v>1518</v>
      </c>
      <c r="C1892" t="s">
        <v>6798</v>
      </c>
      <c r="D1892" s="8" t="s">
        <v>6799</v>
      </c>
    </row>
    <row r="1893" spans="1:4" x14ac:dyDescent="0.35">
      <c r="A1893" t="s">
        <v>1517</v>
      </c>
      <c r="B1893" s="8" t="s">
        <v>1518</v>
      </c>
      <c r="C1893" t="s">
        <v>6800</v>
      </c>
      <c r="D1893" s="8" t="s">
        <v>6801</v>
      </c>
    </row>
    <row r="1894" spans="1:4" x14ac:dyDescent="0.35">
      <c r="A1894" t="s">
        <v>1517</v>
      </c>
      <c r="B1894" s="8" t="s">
        <v>1518</v>
      </c>
      <c r="C1894" t="s">
        <v>6802</v>
      </c>
      <c r="D1894" s="8" t="s">
        <v>6803</v>
      </c>
    </row>
    <row r="1895" spans="1:4" x14ac:dyDescent="0.35">
      <c r="A1895" t="s">
        <v>1517</v>
      </c>
      <c r="B1895" s="8" t="s">
        <v>1518</v>
      </c>
      <c r="C1895" t="s">
        <v>6804</v>
      </c>
      <c r="D1895" s="8" t="s">
        <v>6805</v>
      </c>
    </row>
    <row r="1896" spans="1:4" x14ac:dyDescent="0.35">
      <c r="A1896" t="s">
        <v>1517</v>
      </c>
      <c r="B1896" s="8" t="s">
        <v>1518</v>
      </c>
      <c r="C1896" t="s">
        <v>6806</v>
      </c>
      <c r="D1896" s="8" t="s">
        <v>6807</v>
      </c>
    </row>
    <row r="1897" spans="1:4" x14ac:dyDescent="0.35">
      <c r="A1897" t="s">
        <v>1519</v>
      </c>
      <c r="B1897" s="8" t="s">
        <v>1520</v>
      </c>
      <c r="C1897" t="s">
        <v>6796</v>
      </c>
      <c r="D1897" s="8" t="s">
        <v>6797</v>
      </c>
    </row>
    <row r="1898" spans="1:4" x14ac:dyDescent="0.35">
      <c r="A1898" t="s">
        <v>1519</v>
      </c>
      <c r="B1898" s="8" t="s">
        <v>1520</v>
      </c>
      <c r="C1898" t="s">
        <v>6806</v>
      </c>
      <c r="D1898" s="8" t="s">
        <v>6807</v>
      </c>
    </row>
    <row r="1899" spans="1:4" x14ac:dyDescent="0.35">
      <c r="A1899" t="s">
        <v>1521</v>
      </c>
      <c r="B1899" s="8" t="s">
        <v>1522</v>
      </c>
      <c r="C1899" t="s">
        <v>6796</v>
      </c>
      <c r="D1899" s="8" t="s">
        <v>6797</v>
      </c>
    </row>
    <row r="1900" spans="1:4" x14ac:dyDescent="0.35">
      <c r="A1900" t="s">
        <v>1523</v>
      </c>
      <c r="B1900" s="8" t="s">
        <v>1524</v>
      </c>
      <c r="C1900" t="s">
        <v>6796</v>
      </c>
      <c r="D1900" s="8" t="s">
        <v>6797</v>
      </c>
    </row>
    <row r="1901" spans="1:4" x14ac:dyDescent="0.35">
      <c r="A1901" t="s">
        <v>1523</v>
      </c>
      <c r="B1901" s="8" t="s">
        <v>1524</v>
      </c>
      <c r="C1901" t="s">
        <v>6806</v>
      </c>
      <c r="D1901" s="8" t="s">
        <v>6807</v>
      </c>
    </row>
    <row r="1902" spans="1:4" x14ac:dyDescent="0.35">
      <c r="A1902" t="s">
        <v>1525</v>
      </c>
      <c r="B1902" s="8" t="s">
        <v>1526</v>
      </c>
      <c r="C1902" t="s">
        <v>6796</v>
      </c>
      <c r="D1902" s="8" t="s">
        <v>6797</v>
      </c>
    </row>
    <row r="1903" spans="1:4" x14ac:dyDescent="0.35">
      <c r="A1903" t="s">
        <v>1525</v>
      </c>
      <c r="B1903" s="8" t="s">
        <v>1526</v>
      </c>
      <c r="C1903" t="s">
        <v>6806</v>
      </c>
      <c r="D1903" s="8" t="s">
        <v>6807</v>
      </c>
    </row>
    <row r="1904" spans="1:4" x14ac:dyDescent="0.35">
      <c r="A1904" t="s">
        <v>1527</v>
      </c>
      <c r="B1904" s="8" t="s">
        <v>1528</v>
      </c>
      <c r="C1904" t="s">
        <v>6796</v>
      </c>
      <c r="D1904" s="8" t="s">
        <v>6797</v>
      </c>
    </row>
    <row r="1905" spans="1:4" x14ac:dyDescent="0.35">
      <c r="A1905" t="s">
        <v>1527</v>
      </c>
      <c r="B1905" s="8" t="s">
        <v>1528</v>
      </c>
      <c r="C1905" t="s">
        <v>6806</v>
      </c>
      <c r="D1905" s="8" t="s">
        <v>6807</v>
      </c>
    </row>
    <row r="1906" spans="1:4" x14ac:dyDescent="0.35">
      <c r="A1906" t="s">
        <v>1529</v>
      </c>
      <c r="B1906" s="8" t="s">
        <v>1530</v>
      </c>
      <c r="C1906" t="s">
        <v>6796</v>
      </c>
      <c r="D1906" s="8" t="s">
        <v>6797</v>
      </c>
    </row>
    <row r="1907" spans="1:4" x14ac:dyDescent="0.35">
      <c r="A1907" t="s">
        <v>1529</v>
      </c>
      <c r="B1907" s="8" t="s">
        <v>1530</v>
      </c>
      <c r="C1907" t="s">
        <v>6806</v>
      </c>
      <c r="D1907" s="8" t="s">
        <v>6807</v>
      </c>
    </row>
    <row r="1908" spans="1:4" x14ac:dyDescent="0.35">
      <c r="A1908" t="s">
        <v>1531</v>
      </c>
      <c r="B1908" s="8" t="s">
        <v>1532</v>
      </c>
      <c r="C1908" t="s">
        <v>6796</v>
      </c>
      <c r="D1908" s="8" t="s">
        <v>6797</v>
      </c>
    </row>
    <row r="1909" spans="1:4" x14ac:dyDescent="0.35">
      <c r="A1909" t="s">
        <v>1531</v>
      </c>
      <c r="B1909" s="8" t="s">
        <v>1532</v>
      </c>
      <c r="C1909" t="s">
        <v>6806</v>
      </c>
      <c r="D1909" s="8" t="s">
        <v>6807</v>
      </c>
    </row>
    <row r="1910" spans="1:4" x14ac:dyDescent="0.35">
      <c r="A1910" t="s">
        <v>1533</v>
      </c>
      <c r="B1910" s="8" t="s">
        <v>1534</v>
      </c>
      <c r="C1910" t="s">
        <v>6796</v>
      </c>
      <c r="D1910" s="8" t="s">
        <v>6797</v>
      </c>
    </row>
    <row r="1911" spans="1:4" x14ac:dyDescent="0.35">
      <c r="A1911" t="s">
        <v>1533</v>
      </c>
      <c r="B1911" s="8" t="s">
        <v>1534</v>
      </c>
      <c r="C1911" t="s">
        <v>6806</v>
      </c>
      <c r="D1911" s="8" t="s">
        <v>6807</v>
      </c>
    </row>
    <row r="1912" spans="1:4" x14ac:dyDescent="0.35">
      <c r="A1912" t="s">
        <v>1535</v>
      </c>
      <c r="B1912" s="8" t="s">
        <v>1536</v>
      </c>
      <c r="C1912" t="s">
        <v>6796</v>
      </c>
      <c r="D1912" s="8" t="s">
        <v>6797</v>
      </c>
    </row>
    <row r="1913" spans="1:4" x14ac:dyDescent="0.35">
      <c r="A1913" t="s">
        <v>1535</v>
      </c>
      <c r="B1913" s="8" t="s">
        <v>1536</v>
      </c>
      <c r="C1913" t="s">
        <v>6806</v>
      </c>
      <c r="D1913" s="8" t="s">
        <v>6807</v>
      </c>
    </row>
    <row r="1914" spans="1:4" x14ac:dyDescent="0.35">
      <c r="A1914" t="s">
        <v>1537</v>
      </c>
      <c r="B1914" s="8" t="s">
        <v>1538</v>
      </c>
      <c r="C1914" t="s">
        <v>6796</v>
      </c>
      <c r="D1914" s="8" t="s">
        <v>6797</v>
      </c>
    </row>
    <row r="1915" spans="1:4" x14ac:dyDescent="0.35">
      <c r="A1915" t="s">
        <v>1537</v>
      </c>
      <c r="B1915" s="8" t="s">
        <v>1538</v>
      </c>
      <c r="C1915" t="s">
        <v>6806</v>
      </c>
      <c r="D1915" s="8" t="s">
        <v>6807</v>
      </c>
    </row>
    <row r="1916" spans="1:4" x14ac:dyDescent="0.35">
      <c r="A1916" t="s">
        <v>1539</v>
      </c>
      <c r="B1916" s="8" t="s">
        <v>1540</v>
      </c>
      <c r="C1916" t="s">
        <v>6796</v>
      </c>
      <c r="D1916" s="8" t="s">
        <v>6797</v>
      </c>
    </row>
    <row r="1917" spans="1:4" x14ac:dyDescent="0.35">
      <c r="A1917" t="s">
        <v>1539</v>
      </c>
      <c r="B1917" s="8" t="s">
        <v>1540</v>
      </c>
      <c r="C1917" t="s">
        <v>6806</v>
      </c>
      <c r="D1917" s="8" t="s">
        <v>6807</v>
      </c>
    </row>
    <row r="1918" spans="1:4" x14ac:dyDescent="0.35">
      <c r="A1918" t="s">
        <v>1541</v>
      </c>
      <c r="B1918" s="8" t="s">
        <v>1542</v>
      </c>
      <c r="C1918" t="s">
        <v>6796</v>
      </c>
      <c r="D1918" s="8" t="s">
        <v>6797</v>
      </c>
    </row>
    <row r="1919" spans="1:4" x14ac:dyDescent="0.35">
      <c r="A1919" t="s">
        <v>1541</v>
      </c>
      <c r="B1919" s="8" t="s">
        <v>1542</v>
      </c>
      <c r="C1919" t="s">
        <v>6806</v>
      </c>
      <c r="D1919" s="8" t="s">
        <v>6807</v>
      </c>
    </row>
    <row r="1920" spans="1:4" x14ac:dyDescent="0.35">
      <c r="A1920" t="s">
        <v>6808</v>
      </c>
      <c r="B1920" s="8" t="s">
        <v>1543</v>
      </c>
      <c r="C1920" t="s">
        <v>6796</v>
      </c>
      <c r="D1920" s="8" t="s">
        <v>6797</v>
      </c>
    </row>
    <row r="1921" spans="1:4" x14ac:dyDescent="0.35">
      <c r="A1921" t="s">
        <v>6808</v>
      </c>
      <c r="B1921" s="8" t="s">
        <v>1543</v>
      </c>
      <c r="C1921" t="s">
        <v>6806</v>
      </c>
      <c r="D1921" s="8" t="s">
        <v>6807</v>
      </c>
    </row>
    <row r="1922" spans="1:4" x14ac:dyDescent="0.35">
      <c r="A1922" t="s">
        <v>6809</v>
      </c>
      <c r="B1922" s="8" t="s">
        <v>1544</v>
      </c>
      <c r="C1922" t="s">
        <v>6796</v>
      </c>
      <c r="D1922" s="8" t="s">
        <v>6797</v>
      </c>
    </row>
    <row r="1923" spans="1:4" x14ac:dyDescent="0.35">
      <c r="A1923" t="s">
        <v>6809</v>
      </c>
      <c r="B1923" s="8" t="s">
        <v>1544</v>
      </c>
      <c r="C1923" t="s">
        <v>6806</v>
      </c>
      <c r="D1923" s="8" t="s">
        <v>6807</v>
      </c>
    </row>
    <row r="1924" spans="1:4" x14ac:dyDescent="0.35">
      <c r="A1924" t="s">
        <v>6810</v>
      </c>
      <c r="B1924" s="8" t="s">
        <v>1545</v>
      </c>
      <c r="C1924" t="s">
        <v>6796</v>
      </c>
      <c r="D1924" s="8" t="s">
        <v>6797</v>
      </c>
    </row>
    <row r="1925" spans="1:4" x14ac:dyDescent="0.35">
      <c r="A1925" t="s">
        <v>6810</v>
      </c>
      <c r="B1925" s="8" t="s">
        <v>1545</v>
      </c>
      <c r="C1925" t="s">
        <v>6806</v>
      </c>
      <c r="D1925" s="8" t="s">
        <v>6807</v>
      </c>
    </row>
    <row r="1926" spans="1:4" x14ac:dyDescent="0.35">
      <c r="A1926" t="s">
        <v>6811</v>
      </c>
      <c r="B1926" s="8" t="s">
        <v>1546</v>
      </c>
      <c r="C1926" t="s">
        <v>6796</v>
      </c>
      <c r="D1926" s="8" t="s">
        <v>6797</v>
      </c>
    </row>
    <row r="1927" spans="1:4" x14ac:dyDescent="0.35">
      <c r="A1927" t="s">
        <v>6811</v>
      </c>
      <c r="B1927" s="8" t="s">
        <v>1546</v>
      </c>
      <c r="C1927" t="s">
        <v>6806</v>
      </c>
      <c r="D1927" s="8" t="s">
        <v>6807</v>
      </c>
    </row>
    <row r="1928" spans="1:4" x14ac:dyDescent="0.35">
      <c r="A1928" t="s">
        <v>6812</v>
      </c>
      <c r="B1928" s="8" t="s">
        <v>1547</v>
      </c>
      <c r="C1928" t="s">
        <v>6796</v>
      </c>
      <c r="D1928" s="8" t="s">
        <v>6797</v>
      </c>
    </row>
    <row r="1929" spans="1:4" x14ac:dyDescent="0.35">
      <c r="A1929" t="s">
        <v>6812</v>
      </c>
      <c r="B1929" s="8" t="s">
        <v>1547</v>
      </c>
      <c r="C1929" t="s">
        <v>6806</v>
      </c>
      <c r="D1929" s="8" t="s">
        <v>6807</v>
      </c>
    </row>
    <row r="1930" spans="1:4" x14ac:dyDescent="0.35">
      <c r="A1930" t="s">
        <v>6813</v>
      </c>
      <c r="B1930" s="8" t="s">
        <v>1548</v>
      </c>
      <c r="C1930" t="s">
        <v>6796</v>
      </c>
      <c r="D1930" s="8" t="s">
        <v>6797</v>
      </c>
    </row>
    <row r="1931" spans="1:4" x14ac:dyDescent="0.35">
      <c r="A1931" t="s">
        <v>6813</v>
      </c>
      <c r="B1931" s="8" t="s">
        <v>1548</v>
      </c>
      <c r="C1931" t="s">
        <v>6806</v>
      </c>
      <c r="D1931" s="8" t="s">
        <v>6807</v>
      </c>
    </row>
    <row r="1932" spans="1:4" x14ac:dyDescent="0.35">
      <c r="A1932" t="s">
        <v>6814</v>
      </c>
      <c r="B1932" s="8" t="s">
        <v>1549</v>
      </c>
      <c r="C1932" t="s">
        <v>6796</v>
      </c>
      <c r="D1932" s="8" t="s">
        <v>6797</v>
      </c>
    </row>
    <row r="1933" spans="1:4" x14ac:dyDescent="0.35">
      <c r="A1933" t="s">
        <v>6814</v>
      </c>
      <c r="B1933" s="8" t="s">
        <v>1549</v>
      </c>
      <c r="C1933" t="s">
        <v>6806</v>
      </c>
      <c r="D1933" s="8" t="s">
        <v>6807</v>
      </c>
    </row>
    <row r="1934" spans="1:4" x14ac:dyDescent="0.35">
      <c r="A1934" t="s">
        <v>6815</v>
      </c>
      <c r="B1934" s="8" t="s">
        <v>1550</v>
      </c>
      <c r="C1934" t="s">
        <v>6796</v>
      </c>
      <c r="D1934" s="8" t="s">
        <v>6797</v>
      </c>
    </row>
    <row r="1935" spans="1:4" x14ac:dyDescent="0.35">
      <c r="A1935" t="s">
        <v>6815</v>
      </c>
      <c r="B1935" s="8" t="s">
        <v>1550</v>
      </c>
      <c r="C1935" t="s">
        <v>6806</v>
      </c>
      <c r="D1935" s="8" t="s">
        <v>6807</v>
      </c>
    </row>
    <row r="1936" spans="1:4" x14ac:dyDescent="0.35">
      <c r="A1936" t="s">
        <v>6816</v>
      </c>
      <c r="B1936" s="8" t="s">
        <v>1551</v>
      </c>
      <c r="C1936" t="s">
        <v>6796</v>
      </c>
      <c r="D1936" s="8" t="s">
        <v>6797</v>
      </c>
    </row>
    <row r="1937" spans="1:4" x14ac:dyDescent="0.35">
      <c r="A1937" t="s">
        <v>6816</v>
      </c>
      <c r="B1937" s="8" t="s">
        <v>1551</v>
      </c>
      <c r="C1937" t="s">
        <v>6806</v>
      </c>
      <c r="D1937" s="8" t="s">
        <v>6807</v>
      </c>
    </row>
    <row r="1938" spans="1:4" x14ac:dyDescent="0.35">
      <c r="A1938" t="s">
        <v>6817</v>
      </c>
      <c r="B1938" s="8" t="s">
        <v>1552</v>
      </c>
      <c r="C1938" t="s">
        <v>6796</v>
      </c>
      <c r="D1938" s="8" t="s">
        <v>6797</v>
      </c>
    </row>
    <row r="1939" spans="1:4" x14ac:dyDescent="0.35">
      <c r="A1939" t="s">
        <v>6817</v>
      </c>
      <c r="B1939" s="8" t="s">
        <v>1552</v>
      </c>
      <c r="C1939" t="s">
        <v>6806</v>
      </c>
      <c r="D1939" s="8" t="s">
        <v>6807</v>
      </c>
    </row>
    <row r="1940" spans="1:4" x14ac:dyDescent="0.35">
      <c r="A1940" t="s">
        <v>6818</v>
      </c>
      <c r="B1940" s="8" t="s">
        <v>1553</v>
      </c>
      <c r="C1940" t="s">
        <v>6796</v>
      </c>
      <c r="D1940" s="8" t="s">
        <v>6797</v>
      </c>
    </row>
    <row r="1941" spans="1:4" x14ac:dyDescent="0.35">
      <c r="A1941" t="s">
        <v>6818</v>
      </c>
      <c r="B1941" s="8" t="s">
        <v>1553</v>
      </c>
      <c r="C1941" t="s">
        <v>6806</v>
      </c>
      <c r="D1941" s="8" t="s">
        <v>6807</v>
      </c>
    </row>
    <row r="1942" spans="1:4" x14ac:dyDescent="0.35">
      <c r="A1942" t="s">
        <v>6819</v>
      </c>
      <c r="B1942" s="8" t="s">
        <v>1554</v>
      </c>
      <c r="C1942" t="s">
        <v>6796</v>
      </c>
      <c r="D1942" s="8" t="s">
        <v>6797</v>
      </c>
    </row>
    <row r="1943" spans="1:4" x14ac:dyDescent="0.35">
      <c r="A1943" t="s">
        <v>6819</v>
      </c>
      <c r="B1943" s="8" t="s">
        <v>1554</v>
      </c>
      <c r="C1943" t="s">
        <v>6806</v>
      </c>
      <c r="D1943" s="8" t="s">
        <v>6807</v>
      </c>
    </row>
    <row r="1944" spans="1:4" x14ac:dyDescent="0.35">
      <c r="A1944" t="s">
        <v>1555</v>
      </c>
      <c r="B1944" s="8" t="s">
        <v>1556</v>
      </c>
      <c r="C1944" t="s">
        <v>6796</v>
      </c>
      <c r="D1944" s="8" t="s">
        <v>6797</v>
      </c>
    </row>
    <row r="1945" spans="1:4" x14ac:dyDescent="0.35">
      <c r="A1945" t="s">
        <v>1555</v>
      </c>
      <c r="B1945" s="8" t="s">
        <v>1556</v>
      </c>
      <c r="C1945" t="s">
        <v>6806</v>
      </c>
      <c r="D1945" s="8" t="s">
        <v>6807</v>
      </c>
    </row>
    <row r="1946" spans="1:4" x14ac:dyDescent="0.35">
      <c r="A1946" t="s">
        <v>1557</v>
      </c>
      <c r="B1946" s="8" t="s">
        <v>1558</v>
      </c>
      <c r="C1946" t="s">
        <v>6820</v>
      </c>
      <c r="D1946" s="8" t="s">
        <v>6821</v>
      </c>
    </row>
    <row r="1947" spans="1:4" x14ac:dyDescent="0.35">
      <c r="A1947" t="s">
        <v>1559</v>
      </c>
      <c r="B1947" s="8" t="s">
        <v>1560</v>
      </c>
      <c r="C1947" t="s">
        <v>6791</v>
      </c>
      <c r="D1947" s="8" t="s">
        <v>6792</v>
      </c>
    </row>
    <row r="1948" spans="1:4" x14ac:dyDescent="0.35">
      <c r="A1948" t="s">
        <v>1559</v>
      </c>
      <c r="B1948" s="8" t="s">
        <v>1560</v>
      </c>
      <c r="C1948" t="s">
        <v>6822</v>
      </c>
      <c r="D1948" s="8" t="s">
        <v>6823</v>
      </c>
    </row>
    <row r="1949" spans="1:4" x14ac:dyDescent="0.35">
      <c r="A1949" t="s">
        <v>1559</v>
      </c>
      <c r="B1949" s="8" t="s">
        <v>1560</v>
      </c>
      <c r="C1949" t="s">
        <v>6793</v>
      </c>
      <c r="D1949" s="8" t="s">
        <v>6794</v>
      </c>
    </row>
    <row r="1950" spans="1:4" x14ac:dyDescent="0.35">
      <c r="A1950" t="s">
        <v>1561</v>
      </c>
      <c r="B1950" s="8" t="s">
        <v>1563</v>
      </c>
      <c r="C1950" t="s">
        <v>6380</v>
      </c>
      <c r="D1950" s="8" t="s">
        <v>6381</v>
      </c>
    </row>
    <row r="1951" spans="1:4" x14ac:dyDescent="0.35">
      <c r="A1951" t="s">
        <v>6824</v>
      </c>
      <c r="B1951" s="8" t="s">
        <v>1564</v>
      </c>
      <c r="C1951" t="s">
        <v>6793</v>
      </c>
      <c r="D1951" s="8" t="s">
        <v>6794</v>
      </c>
    </row>
    <row r="1952" spans="1:4" x14ac:dyDescent="0.35">
      <c r="A1952" t="s">
        <v>6824</v>
      </c>
      <c r="B1952" s="8" t="s">
        <v>1564</v>
      </c>
      <c r="C1952" t="s">
        <v>6315</v>
      </c>
      <c r="D1952" s="8" t="s">
        <v>6316</v>
      </c>
    </row>
    <row r="1953" spans="1:4" x14ac:dyDescent="0.35">
      <c r="A1953" t="s">
        <v>6824</v>
      </c>
      <c r="B1953" s="8" t="s">
        <v>1564</v>
      </c>
      <c r="C1953" t="s">
        <v>6380</v>
      </c>
      <c r="D1953" s="8" t="s">
        <v>6381</v>
      </c>
    </row>
    <row r="1954" spans="1:4" x14ac:dyDescent="0.35">
      <c r="A1954" t="s">
        <v>6825</v>
      </c>
      <c r="B1954" s="8" t="s">
        <v>1565</v>
      </c>
      <c r="C1954" t="s">
        <v>6380</v>
      </c>
      <c r="D1954" s="8" t="s">
        <v>6381</v>
      </c>
    </row>
    <row r="1955" spans="1:4" x14ac:dyDescent="0.35">
      <c r="A1955" t="s">
        <v>1566</v>
      </c>
      <c r="B1955" s="8" t="s">
        <v>1567</v>
      </c>
      <c r="C1955" t="s">
        <v>6163</v>
      </c>
      <c r="D1955" s="8" t="s">
        <v>6164</v>
      </c>
    </row>
    <row r="1956" spans="1:4" x14ac:dyDescent="0.35">
      <c r="A1956" t="s">
        <v>1568</v>
      </c>
      <c r="B1956" s="8" t="s">
        <v>1569</v>
      </c>
      <c r="C1956" t="s">
        <v>6163</v>
      </c>
      <c r="D1956" s="8" t="s">
        <v>6164</v>
      </c>
    </row>
    <row r="1957" spans="1:4" x14ac:dyDescent="0.35">
      <c r="A1957" t="s">
        <v>1570</v>
      </c>
      <c r="B1957" s="8" t="s">
        <v>1571</v>
      </c>
      <c r="C1957" t="s">
        <v>6574</v>
      </c>
      <c r="D1957" s="8" t="s">
        <v>6575</v>
      </c>
    </row>
    <row r="1958" spans="1:4" x14ac:dyDescent="0.35">
      <c r="A1958" t="s">
        <v>1570</v>
      </c>
      <c r="B1958" s="8" t="s">
        <v>1571</v>
      </c>
      <c r="C1958" t="s">
        <v>6514</v>
      </c>
      <c r="D1958" s="8" t="s">
        <v>6515</v>
      </c>
    </row>
    <row r="1959" spans="1:4" x14ac:dyDescent="0.35">
      <c r="A1959" t="s">
        <v>1570</v>
      </c>
      <c r="B1959" s="8" t="s">
        <v>1571</v>
      </c>
      <c r="C1959" t="s">
        <v>6337</v>
      </c>
      <c r="D1959" s="8" t="s">
        <v>6338</v>
      </c>
    </row>
    <row r="1960" spans="1:4" x14ac:dyDescent="0.35">
      <c r="A1960" t="s">
        <v>1572</v>
      </c>
      <c r="B1960" s="8" t="s">
        <v>1573</v>
      </c>
      <c r="C1960" t="s">
        <v>6574</v>
      </c>
      <c r="D1960" s="8" t="s">
        <v>6575</v>
      </c>
    </row>
    <row r="1961" spans="1:4" x14ac:dyDescent="0.35">
      <c r="A1961" t="s">
        <v>1572</v>
      </c>
      <c r="B1961" s="8" t="s">
        <v>1573</v>
      </c>
      <c r="C1961" t="s">
        <v>6483</v>
      </c>
      <c r="D1961" s="8" t="s">
        <v>6484</v>
      </c>
    </row>
    <row r="1962" spans="1:4" x14ac:dyDescent="0.35">
      <c r="A1962" t="s">
        <v>1572</v>
      </c>
      <c r="B1962" s="8" t="s">
        <v>1573</v>
      </c>
      <c r="C1962" t="s">
        <v>6331</v>
      </c>
      <c r="D1962" s="8" t="s">
        <v>6332</v>
      </c>
    </row>
    <row r="1963" spans="1:4" x14ac:dyDescent="0.35">
      <c r="A1963" t="s">
        <v>1572</v>
      </c>
      <c r="B1963" s="8" t="s">
        <v>1573</v>
      </c>
      <c r="C1963" t="s">
        <v>6366</v>
      </c>
      <c r="D1963" s="8" t="s">
        <v>6367</v>
      </c>
    </row>
    <row r="1964" spans="1:4" x14ac:dyDescent="0.35">
      <c r="A1964" t="s">
        <v>1572</v>
      </c>
      <c r="B1964" s="8" t="s">
        <v>1573</v>
      </c>
      <c r="C1964" t="s">
        <v>6333</v>
      </c>
      <c r="D1964" s="8" t="s">
        <v>6334</v>
      </c>
    </row>
    <row r="1965" spans="1:4" x14ac:dyDescent="0.35">
      <c r="A1965" t="s">
        <v>1572</v>
      </c>
      <c r="B1965" s="8" t="s">
        <v>1573</v>
      </c>
      <c r="C1965" t="s">
        <v>6337</v>
      </c>
      <c r="D1965" s="8" t="s">
        <v>6338</v>
      </c>
    </row>
    <row r="1966" spans="1:4" x14ac:dyDescent="0.35">
      <c r="A1966" t="s">
        <v>1574</v>
      </c>
      <c r="B1966" s="8" t="s">
        <v>1575</v>
      </c>
      <c r="C1966" t="s">
        <v>6574</v>
      </c>
      <c r="D1966" s="8" t="s">
        <v>6575</v>
      </c>
    </row>
    <row r="1967" spans="1:4" x14ac:dyDescent="0.35">
      <c r="A1967" t="s">
        <v>1574</v>
      </c>
      <c r="B1967" s="8" t="s">
        <v>1575</v>
      </c>
      <c r="C1967" t="s">
        <v>6483</v>
      </c>
      <c r="D1967" s="8" t="s">
        <v>6484</v>
      </c>
    </row>
    <row r="1968" spans="1:4" x14ac:dyDescent="0.35">
      <c r="A1968" t="s">
        <v>1574</v>
      </c>
      <c r="B1968" s="8" t="s">
        <v>1575</v>
      </c>
      <c r="C1968" t="s">
        <v>6331</v>
      </c>
      <c r="D1968" s="8" t="s">
        <v>6332</v>
      </c>
    </row>
    <row r="1969" spans="1:4" x14ac:dyDescent="0.35">
      <c r="A1969" t="s">
        <v>1574</v>
      </c>
      <c r="B1969" s="8" t="s">
        <v>1575</v>
      </c>
      <c r="C1969" t="s">
        <v>6333</v>
      </c>
      <c r="D1969" s="8" t="s">
        <v>6334</v>
      </c>
    </row>
    <row r="1970" spans="1:4" x14ac:dyDescent="0.35">
      <c r="A1970" t="s">
        <v>1576</v>
      </c>
      <c r="B1970" s="8" t="s">
        <v>1577</v>
      </c>
      <c r="C1970" t="s">
        <v>6574</v>
      </c>
      <c r="D1970" s="8" t="s">
        <v>6575</v>
      </c>
    </row>
    <row r="1971" spans="1:4" x14ac:dyDescent="0.35">
      <c r="A1971" t="s">
        <v>1576</v>
      </c>
      <c r="B1971" s="8" t="s">
        <v>1577</v>
      </c>
      <c r="C1971" t="s">
        <v>6483</v>
      </c>
      <c r="D1971" s="8" t="s">
        <v>6484</v>
      </c>
    </row>
    <row r="1972" spans="1:4" x14ac:dyDescent="0.35">
      <c r="A1972" t="s">
        <v>1576</v>
      </c>
      <c r="B1972" s="8" t="s">
        <v>1577</v>
      </c>
      <c r="C1972" t="s">
        <v>6331</v>
      </c>
      <c r="D1972" s="8" t="s">
        <v>6332</v>
      </c>
    </row>
    <row r="1973" spans="1:4" x14ac:dyDescent="0.35">
      <c r="A1973" t="s">
        <v>1576</v>
      </c>
      <c r="B1973" s="8" t="s">
        <v>1577</v>
      </c>
      <c r="C1973" t="s">
        <v>6366</v>
      </c>
      <c r="D1973" s="8" t="s">
        <v>6367</v>
      </c>
    </row>
    <row r="1974" spans="1:4" x14ac:dyDescent="0.35">
      <c r="A1974" t="s">
        <v>1576</v>
      </c>
      <c r="B1974" s="8" t="s">
        <v>1577</v>
      </c>
      <c r="C1974" t="s">
        <v>6333</v>
      </c>
      <c r="D1974" s="8" t="s">
        <v>6334</v>
      </c>
    </row>
    <row r="1975" spans="1:4" x14ac:dyDescent="0.35">
      <c r="A1975" t="s">
        <v>1578</v>
      </c>
      <c r="B1975" s="8" t="s">
        <v>1579</v>
      </c>
      <c r="C1975" t="s">
        <v>6574</v>
      </c>
      <c r="D1975" s="8" t="s">
        <v>6575</v>
      </c>
    </row>
    <row r="1976" spans="1:4" x14ac:dyDescent="0.35">
      <c r="A1976" t="s">
        <v>1578</v>
      </c>
      <c r="B1976" s="8" t="s">
        <v>1579</v>
      </c>
      <c r="C1976" t="s">
        <v>6483</v>
      </c>
      <c r="D1976" s="8" t="s">
        <v>6484</v>
      </c>
    </row>
    <row r="1977" spans="1:4" x14ac:dyDescent="0.35">
      <c r="A1977" t="s">
        <v>1578</v>
      </c>
      <c r="B1977" s="8" t="s">
        <v>1579</v>
      </c>
      <c r="C1977" t="s">
        <v>6331</v>
      </c>
      <c r="D1977" s="8" t="s">
        <v>6332</v>
      </c>
    </row>
    <row r="1978" spans="1:4" x14ac:dyDescent="0.35">
      <c r="A1978" t="s">
        <v>1578</v>
      </c>
      <c r="B1978" s="8" t="s">
        <v>1579</v>
      </c>
      <c r="C1978" t="s">
        <v>6333</v>
      </c>
      <c r="D1978" s="8" t="s">
        <v>6334</v>
      </c>
    </row>
    <row r="1979" spans="1:4" x14ac:dyDescent="0.35">
      <c r="A1979" t="s">
        <v>1580</v>
      </c>
      <c r="B1979" s="8" t="s">
        <v>1581</v>
      </c>
      <c r="C1979" t="s">
        <v>6574</v>
      </c>
      <c r="D1979" s="8" t="s">
        <v>6575</v>
      </c>
    </row>
    <row r="1980" spans="1:4" x14ac:dyDescent="0.35">
      <c r="A1980" t="s">
        <v>1580</v>
      </c>
      <c r="B1980" s="8" t="s">
        <v>1581</v>
      </c>
      <c r="C1980" t="s">
        <v>6331</v>
      </c>
      <c r="D1980" s="8" t="s">
        <v>6332</v>
      </c>
    </row>
    <row r="1981" spans="1:4" x14ac:dyDescent="0.35">
      <c r="A1981" t="s">
        <v>1580</v>
      </c>
      <c r="B1981" s="8" t="s">
        <v>1581</v>
      </c>
      <c r="C1981" t="s">
        <v>6333</v>
      </c>
      <c r="D1981" s="8" t="s">
        <v>6334</v>
      </c>
    </row>
    <row r="1982" spans="1:4" x14ac:dyDescent="0.35">
      <c r="A1982" t="s">
        <v>1580</v>
      </c>
      <c r="B1982" s="8" t="s">
        <v>1581</v>
      </c>
      <c r="C1982" t="s">
        <v>6337</v>
      </c>
      <c r="D1982" s="8" t="s">
        <v>6338</v>
      </c>
    </row>
    <row r="1983" spans="1:4" x14ac:dyDescent="0.35">
      <c r="A1983" t="s">
        <v>1582</v>
      </c>
      <c r="B1983" s="8" t="s">
        <v>1583</v>
      </c>
      <c r="C1983" t="s">
        <v>6574</v>
      </c>
      <c r="D1983" s="8" t="s">
        <v>6575</v>
      </c>
    </row>
    <row r="1984" spans="1:4" x14ac:dyDescent="0.35">
      <c r="A1984" t="s">
        <v>1582</v>
      </c>
      <c r="B1984" s="8" t="s">
        <v>1583</v>
      </c>
      <c r="C1984" t="s">
        <v>6331</v>
      </c>
      <c r="D1984" s="8" t="s">
        <v>6332</v>
      </c>
    </row>
    <row r="1985" spans="1:4" x14ac:dyDescent="0.35">
      <c r="A1985" t="s">
        <v>1582</v>
      </c>
      <c r="B1985" s="8" t="s">
        <v>1583</v>
      </c>
      <c r="C1985" t="s">
        <v>6333</v>
      </c>
      <c r="D1985" s="8" t="s">
        <v>6334</v>
      </c>
    </row>
    <row r="1986" spans="1:4" x14ac:dyDescent="0.35">
      <c r="A1986" t="s">
        <v>1584</v>
      </c>
      <c r="B1986" s="8" t="s">
        <v>1585</v>
      </c>
      <c r="C1986" t="s">
        <v>6574</v>
      </c>
      <c r="D1986" s="8" t="s">
        <v>6575</v>
      </c>
    </row>
    <row r="1987" spans="1:4" x14ac:dyDescent="0.35">
      <c r="A1987" t="s">
        <v>1586</v>
      </c>
      <c r="B1987" s="8" t="s">
        <v>1587</v>
      </c>
      <c r="C1987" t="s">
        <v>6574</v>
      </c>
      <c r="D1987" s="8" t="s">
        <v>6575</v>
      </c>
    </row>
    <row r="1988" spans="1:4" x14ac:dyDescent="0.35">
      <c r="A1988" t="s">
        <v>1588</v>
      </c>
      <c r="B1988" s="8" t="s">
        <v>1589</v>
      </c>
      <c r="C1988" t="s">
        <v>6574</v>
      </c>
      <c r="D1988" s="8" t="s">
        <v>6575</v>
      </c>
    </row>
    <row r="1989" spans="1:4" x14ac:dyDescent="0.35">
      <c r="A1989" t="s">
        <v>1590</v>
      </c>
      <c r="B1989" s="8" t="s">
        <v>6826</v>
      </c>
      <c r="C1989" t="s">
        <v>6574</v>
      </c>
      <c r="D1989" s="8" t="s">
        <v>6575</v>
      </c>
    </row>
    <row r="1990" spans="1:4" x14ac:dyDescent="0.35">
      <c r="A1990" t="s">
        <v>1590</v>
      </c>
      <c r="B1990" s="8" t="s">
        <v>6826</v>
      </c>
      <c r="C1990" t="s">
        <v>6331</v>
      </c>
      <c r="D1990" s="8" t="s">
        <v>6332</v>
      </c>
    </row>
    <row r="1991" spans="1:4" x14ac:dyDescent="0.35">
      <c r="A1991" t="s">
        <v>1590</v>
      </c>
      <c r="B1991" s="8" t="s">
        <v>6826</v>
      </c>
      <c r="C1991" t="s">
        <v>6333</v>
      </c>
      <c r="D1991" s="8" t="s">
        <v>6334</v>
      </c>
    </row>
    <row r="1992" spans="1:4" x14ac:dyDescent="0.35">
      <c r="A1992" t="s">
        <v>1592</v>
      </c>
      <c r="B1992" s="8" t="s">
        <v>1593</v>
      </c>
      <c r="C1992" t="s">
        <v>6574</v>
      </c>
      <c r="D1992" s="8" t="s">
        <v>6575</v>
      </c>
    </row>
    <row r="1993" spans="1:4" x14ac:dyDescent="0.35">
      <c r="A1993" t="s">
        <v>1592</v>
      </c>
      <c r="B1993" s="8" t="s">
        <v>1593</v>
      </c>
      <c r="C1993" t="s">
        <v>6331</v>
      </c>
      <c r="D1993" s="8" t="s">
        <v>6332</v>
      </c>
    </row>
    <row r="1994" spans="1:4" x14ac:dyDescent="0.35">
      <c r="A1994" t="s">
        <v>1592</v>
      </c>
      <c r="B1994" s="8" t="s">
        <v>1593</v>
      </c>
      <c r="C1994" t="s">
        <v>6333</v>
      </c>
      <c r="D1994" s="8" t="s">
        <v>6334</v>
      </c>
    </row>
    <row r="1995" spans="1:4" x14ac:dyDescent="0.35">
      <c r="A1995" t="s">
        <v>1594</v>
      </c>
      <c r="B1995" s="8" t="s">
        <v>1595</v>
      </c>
      <c r="C1995" t="s">
        <v>6574</v>
      </c>
      <c r="D1995" s="8" t="s">
        <v>6575</v>
      </c>
    </row>
    <row r="1996" spans="1:4" x14ac:dyDescent="0.35">
      <c r="A1996" t="s">
        <v>1596</v>
      </c>
      <c r="B1996" s="8" t="s">
        <v>1597</v>
      </c>
      <c r="C1996" t="s">
        <v>6483</v>
      </c>
      <c r="D1996" s="8" t="s">
        <v>6484</v>
      </c>
    </row>
    <row r="1997" spans="1:4" x14ac:dyDescent="0.35">
      <c r="A1997" t="s">
        <v>1598</v>
      </c>
      <c r="B1997" s="8" t="s">
        <v>1599</v>
      </c>
      <c r="C1997" t="s">
        <v>6483</v>
      </c>
      <c r="D1997" s="8" t="s">
        <v>6484</v>
      </c>
    </row>
    <row r="1998" spans="1:4" x14ac:dyDescent="0.35">
      <c r="A1998" t="s">
        <v>1600</v>
      </c>
      <c r="B1998" s="8" t="s">
        <v>1601</v>
      </c>
      <c r="C1998" t="s">
        <v>6483</v>
      </c>
      <c r="D1998" s="8" t="s">
        <v>6484</v>
      </c>
    </row>
    <row r="1999" spans="1:4" x14ac:dyDescent="0.35">
      <c r="A1999" t="s">
        <v>1602</v>
      </c>
      <c r="B1999" s="8" t="s">
        <v>1603</v>
      </c>
      <c r="C1999" t="s">
        <v>6163</v>
      </c>
      <c r="D1999" s="8" t="s">
        <v>6164</v>
      </c>
    </row>
    <row r="2000" spans="1:4" x14ac:dyDescent="0.35">
      <c r="A2000" t="s">
        <v>1604</v>
      </c>
      <c r="B2000" s="8" t="s">
        <v>1605</v>
      </c>
      <c r="C2000" t="s">
        <v>6243</v>
      </c>
      <c r="D2000" s="8" t="s">
        <v>6244</v>
      </c>
    </row>
    <row r="2001" spans="1:4" x14ac:dyDescent="0.35">
      <c r="A2001" t="s">
        <v>1604</v>
      </c>
      <c r="B2001" s="8" t="s">
        <v>1605</v>
      </c>
      <c r="C2001" t="s">
        <v>6827</v>
      </c>
      <c r="D2001" s="8" t="s">
        <v>6828</v>
      </c>
    </row>
    <row r="2002" spans="1:4" x14ac:dyDescent="0.35">
      <c r="A2002" t="s">
        <v>1604</v>
      </c>
      <c r="B2002" s="8" t="s">
        <v>1605</v>
      </c>
      <c r="C2002" t="s">
        <v>6533</v>
      </c>
      <c r="D2002" s="8" t="s">
        <v>6534</v>
      </c>
    </row>
    <row r="2003" spans="1:4" x14ac:dyDescent="0.35">
      <c r="A2003" t="s">
        <v>1606</v>
      </c>
      <c r="B2003" s="8" t="s">
        <v>1607</v>
      </c>
      <c r="C2003" t="s">
        <v>6827</v>
      </c>
      <c r="D2003" s="8" t="s">
        <v>6828</v>
      </c>
    </row>
    <row r="2004" spans="1:4" x14ac:dyDescent="0.35">
      <c r="A2004" t="s">
        <v>1606</v>
      </c>
      <c r="B2004" s="8" t="s">
        <v>1607</v>
      </c>
      <c r="C2004" t="s">
        <v>6533</v>
      </c>
      <c r="D2004" s="8" t="s">
        <v>6534</v>
      </c>
    </row>
    <row r="2005" spans="1:4" x14ac:dyDescent="0.35">
      <c r="A2005" t="s">
        <v>1608</v>
      </c>
      <c r="B2005" s="8" t="s">
        <v>1609</v>
      </c>
      <c r="C2005" t="s">
        <v>6243</v>
      </c>
      <c r="D2005" s="8" t="s">
        <v>6244</v>
      </c>
    </row>
    <row r="2006" spans="1:4" x14ac:dyDescent="0.35">
      <c r="A2006" t="s">
        <v>1608</v>
      </c>
      <c r="B2006" s="8" t="s">
        <v>1609</v>
      </c>
      <c r="C2006" t="s">
        <v>6829</v>
      </c>
      <c r="D2006" s="8" t="s">
        <v>6830</v>
      </c>
    </row>
    <row r="2007" spans="1:4" x14ac:dyDescent="0.35">
      <c r="A2007" t="s">
        <v>1610</v>
      </c>
      <c r="B2007" s="8" t="s">
        <v>1611</v>
      </c>
      <c r="C2007" t="s">
        <v>6533</v>
      </c>
      <c r="D2007" s="8" t="s">
        <v>6534</v>
      </c>
    </row>
    <row r="2008" spans="1:4" x14ac:dyDescent="0.35">
      <c r="A2008" t="s">
        <v>1612</v>
      </c>
      <c r="B2008" s="8" t="s">
        <v>1613</v>
      </c>
      <c r="C2008" t="s">
        <v>6831</v>
      </c>
      <c r="D2008" s="8" t="s">
        <v>6832</v>
      </c>
    </row>
    <row r="2009" spans="1:4" x14ac:dyDescent="0.35">
      <c r="A2009" t="s">
        <v>1614</v>
      </c>
      <c r="B2009" s="8" t="s">
        <v>1615</v>
      </c>
      <c r="C2009" t="s">
        <v>6163</v>
      </c>
      <c r="D2009" s="8" t="s">
        <v>6164</v>
      </c>
    </row>
    <row r="2010" spans="1:4" x14ac:dyDescent="0.35">
      <c r="A2010" t="s">
        <v>1616</v>
      </c>
      <c r="B2010" s="8" t="s">
        <v>1617</v>
      </c>
      <c r="C2010" t="s">
        <v>6644</v>
      </c>
      <c r="D2010" s="8" t="s">
        <v>6645</v>
      </c>
    </row>
    <row r="2011" spans="1:4" x14ac:dyDescent="0.35">
      <c r="A2011" t="s">
        <v>1616</v>
      </c>
      <c r="B2011" s="8" t="s">
        <v>1617</v>
      </c>
      <c r="C2011" t="s">
        <v>6833</v>
      </c>
      <c r="D2011" s="8" t="s">
        <v>6834</v>
      </c>
    </row>
    <row r="2012" spans="1:4" x14ac:dyDescent="0.35">
      <c r="A2012" t="s">
        <v>1616</v>
      </c>
      <c r="B2012" s="8" t="s">
        <v>1617</v>
      </c>
      <c r="C2012" t="s">
        <v>6835</v>
      </c>
      <c r="D2012" s="8" t="s">
        <v>6836</v>
      </c>
    </row>
    <row r="2013" spans="1:4" x14ac:dyDescent="0.35">
      <c r="A2013" t="s">
        <v>1616</v>
      </c>
      <c r="B2013" s="8" t="s">
        <v>1617</v>
      </c>
      <c r="C2013" t="s">
        <v>6113</v>
      </c>
      <c r="D2013" s="8" t="s">
        <v>6114</v>
      </c>
    </row>
    <row r="2014" spans="1:4" x14ac:dyDescent="0.35">
      <c r="A2014" t="s">
        <v>1616</v>
      </c>
      <c r="B2014" s="8" t="s">
        <v>1617</v>
      </c>
      <c r="C2014" t="s">
        <v>6155</v>
      </c>
      <c r="D2014" s="8" t="s">
        <v>6156</v>
      </c>
    </row>
    <row r="2015" spans="1:4" x14ac:dyDescent="0.35">
      <c r="A2015" t="s">
        <v>1616</v>
      </c>
      <c r="B2015" s="8" t="s">
        <v>1617</v>
      </c>
      <c r="C2015" t="s">
        <v>6837</v>
      </c>
      <c r="D2015" s="8" t="s">
        <v>6838</v>
      </c>
    </row>
    <row r="2016" spans="1:4" x14ac:dyDescent="0.35">
      <c r="A2016" t="s">
        <v>1616</v>
      </c>
      <c r="B2016" s="8" t="s">
        <v>1617</v>
      </c>
      <c r="C2016" t="s">
        <v>6839</v>
      </c>
      <c r="D2016" s="8" t="s">
        <v>6840</v>
      </c>
    </row>
    <row r="2017" spans="1:4" x14ac:dyDescent="0.35">
      <c r="A2017" t="s">
        <v>1616</v>
      </c>
      <c r="B2017" s="8" t="s">
        <v>1617</v>
      </c>
      <c r="C2017" t="s">
        <v>6588</v>
      </c>
      <c r="D2017" s="8" t="s">
        <v>6589</v>
      </c>
    </row>
    <row r="2018" spans="1:4" x14ac:dyDescent="0.35">
      <c r="A2018" t="s">
        <v>1616</v>
      </c>
      <c r="B2018" s="8" t="s">
        <v>1617</v>
      </c>
      <c r="C2018" t="s">
        <v>6514</v>
      </c>
      <c r="D2018" s="8" t="s">
        <v>6515</v>
      </c>
    </row>
    <row r="2019" spans="1:4" x14ac:dyDescent="0.35">
      <c r="A2019" t="s">
        <v>1618</v>
      </c>
      <c r="B2019" s="8" t="s">
        <v>1619</v>
      </c>
      <c r="C2019" t="s">
        <v>6841</v>
      </c>
      <c r="D2019" s="8" t="s">
        <v>6842</v>
      </c>
    </row>
    <row r="2020" spans="1:4" x14ac:dyDescent="0.35">
      <c r="A2020" t="s">
        <v>1618</v>
      </c>
      <c r="B2020" s="8" t="s">
        <v>1619</v>
      </c>
      <c r="C2020" t="s">
        <v>6837</v>
      </c>
      <c r="D2020" s="8" t="s">
        <v>6838</v>
      </c>
    </row>
    <row r="2021" spans="1:4" x14ac:dyDescent="0.35">
      <c r="A2021" t="s">
        <v>1618</v>
      </c>
      <c r="B2021" s="8" t="s">
        <v>1619</v>
      </c>
      <c r="C2021" t="s">
        <v>6588</v>
      </c>
      <c r="D2021" s="8" t="s">
        <v>6589</v>
      </c>
    </row>
    <row r="2022" spans="1:4" x14ac:dyDescent="0.35">
      <c r="A2022" t="s">
        <v>1620</v>
      </c>
      <c r="B2022" s="8" t="s">
        <v>1621</v>
      </c>
      <c r="C2022" t="s">
        <v>6644</v>
      </c>
      <c r="D2022" s="8" t="s">
        <v>6645</v>
      </c>
    </row>
    <row r="2023" spans="1:4" x14ac:dyDescent="0.35">
      <c r="A2023" t="s">
        <v>1620</v>
      </c>
      <c r="B2023" s="8" t="s">
        <v>1621</v>
      </c>
      <c r="C2023" t="s">
        <v>6843</v>
      </c>
      <c r="D2023" s="8" t="s">
        <v>6844</v>
      </c>
    </row>
    <row r="2024" spans="1:4" x14ac:dyDescent="0.35">
      <c r="A2024" t="s">
        <v>1620</v>
      </c>
      <c r="B2024" s="8" t="s">
        <v>1621</v>
      </c>
      <c r="C2024" t="s">
        <v>6841</v>
      </c>
      <c r="D2024" s="8" t="s">
        <v>6842</v>
      </c>
    </row>
    <row r="2025" spans="1:4" x14ac:dyDescent="0.35">
      <c r="A2025" t="s">
        <v>1620</v>
      </c>
      <c r="B2025" s="8" t="s">
        <v>1621</v>
      </c>
      <c r="C2025" t="s">
        <v>6155</v>
      </c>
      <c r="D2025" s="8" t="s">
        <v>6156</v>
      </c>
    </row>
    <row r="2026" spans="1:4" x14ac:dyDescent="0.35">
      <c r="A2026" t="s">
        <v>1620</v>
      </c>
      <c r="B2026" s="8" t="s">
        <v>1621</v>
      </c>
      <c r="C2026" t="s">
        <v>6837</v>
      </c>
      <c r="D2026" s="8" t="s">
        <v>6838</v>
      </c>
    </row>
    <row r="2027" spans="1:4" x14ac:dyDescent="0.35">
      <c r="A2027" t="s">
        <v>1620</v>
      </c>
      <c r="B2027" s="8" t="s">
        <v>1621</v>
      </c>
      <c r="C2027" t="s">
        <v>6588</v>
      </c>
      <c r="D2027" s="8" t="s">
        <v>6589</v>
      </c>
    </row>
    <row r="2028" spans="1:4" x14ac:dyDescent="0.35">
      <c r="A2028" t="s">
        <v>1622</v>
      </c>
      <c r="B2028" s="8" t="s">
        <v>1623</v>
      </c>
      <c r="C2028" t="s">
        <v>6644</v>
      </c>
      <c r="D2028" s="8" t="s">
        <v>6645</v>
      </c>
    </row>
    <row r="2029" spans="1:4" x14ac:dyDescent="0.35">
      <c r="A2029" t="s">
        <v>1622</v>
      </c>
      <c r="B2029" s="8" t="s">
        <v>1623</v>
      </c>
      <c r="C2029" t="s">
        <v>6843</v>
      </c>
      <c r="D2029" s="8" t="s">
        <v>6844</v>
      </c>
    </row>
    <row r="2030" spans="1:4" x14ac:dyDescent="0.35">
      <c r="A2030" t="s">
        <v>1622</v>
      </c>
      <c r="B2030" s="8" t="s">
        <v>1623</v>
      </c>
      <c r="C2030" t="s">
        <v>6841</v>
      </c>
      <c r="D2030" s="8" t="s">
        <v>6842</v>
      </c>
    </row>
    <row r="2031" spans="1:4" x14ac:dyDescent="0.35">
      <c r="A2031" t="s">
        <v>1622</v>
      </c>
      <c r="B2031" s="8" t="s">
        <v>1623</v>
      </c>
      <c r="C2031" t="s">
        <v>6588</v>
      </c>
      <c r="D2031" s="8" t="s">
        <v>6589</v>
      </c>
    </row>
    <row r="2032" spans="1:4" x14ac:dyDescent="0.35">
      <c r="A2032" t="s">
        <v>1624</v>
      </c>
      <c r="B2032" s="8" t="s">
        <v>1625</v>
      </c>
      <c r="C2032" t="s">
        <v>6644</v>
      </c>
      <c r="D2032" s="8" t="s">
        <v>6645</v>
      </c>
    </row>
    <row r="2033" spans="1:4" x14ac:dyDescent="0.35">
      <c r="A2033" t="s">
        <v>1624</v>
      </c>
      <c r="B2033" s="8" t="s">
        <v>1625</v>
      </c>
      <c r="C2033" t="s">
        <v>6833</v>
      </c>
      <c r="D2033" s="8" t="s">
        <v>6834</v>
      </c>
    </row>
    <row r="2034" spans="1:4" x14ac:dyDescent="0.35">
      <c r="A2034" t="s">
        <v>1624</v>
      </c>
      <c r="B2034" s="8" t="s">
        <v>1625</v>
      </c>
      <c r="C2034" t="s">
        <v>6841</v>
      </c>
      <c r="D2034" s="8" t="s">
        <v>6842</v>
      </c>
    </row>
    <row r="2035" spans="1:4" x14ac:dyDescent="0.35">
      <c r="A2035" t="s">
        <v>1624</v>
      </c>
      <c r="B2035" s="8" t="s">
        <v>1625</v>
      </c>
      <c r="C2035" t="s">
        <v>6837</v>
      </c>
      <c r="D2035" s="8" t="s">
        <v>6838</v>
      </c>
    </row>
    <row r="2036" spans="1:4" x14ac:dyDescent="0.35">
      <c r="A2036" t="s">
        <v>1624</v>
      </c>
      <c r="B2036" s="8" t="s">
        <v>1625</v>
      </c>
      <c r="C2036" t="s">
        <v>6588</v>
      </c>
      <c r="D2036" s="8" t="s">
        <v>6589</v>
      </c>
    </row>
    <row r="2037" spans="1:4" x14ac:dyDescent="0.35">
      <c r="A2037" t="s">
        <v>1626</v>
      </c>
      <c r="B2037" s="8" t="s">
        <v>1627</v>
      </c>
      <c r="C2037" t="s">
        <v>6644</v>
      </c>
      <c r="D2037" s="8" t="s">
        <v>6645</v>
      </c>
    </row>
    <row r="2038" spans="1:4" x14ac:dyDescent="0.35">
      <c r="A2038" t="s">
        <v>1626</v>
      </c>
      <c r="B2038" s="8" t="s">
        <v>1627</v>
      </c>
      <c r="C2038" t="s">
        <v>6843</v>
      </c>
      <c r="D2038" s="8" t="s">
        <v>6844</v>
      </c>
    </row>
    <row r="2039" spans="1:4" x14ac:dyDescent="0.35">
      <c r="A2039" t="s">
        <v>1626</v>
      </c>
      <c r="B2039" s="8" t="s">
        <v>1627</v>
      </c>
      <c r="C2039" t="s">
        <v>6841</v>
      </c>
      <c r="D2039" s="8" t="s">
        <v>6842</v>
      </c>
    </row>
    <row r="2040" spans="1:4" x14ac:dyDescent="0.35">
      <c r="A2040" t="s">
        <v>1626</v>
      </c>
      <c r="B2040" s="8" t="s">
        <v>1627</v>
      </c>
      <c r="C2040" t="s">
        <v>6588</v>
      </c>
      <c r="D2040" s="8" t="s">
        <v>6589</v>
      </c>
    </row>
    <row r="2041" spans="1:4" x14ac:dyDescent="0.35">
      <c r="A2041" t="s">
        <v>1628</v>
      </c>
      <c r="B2041" s="8" t="s">
        <v>1629</v>
      </c>
      <c r="C2041" t="s">
        <v>6644</v>
      </c>
      <c r="D2041" s="8" t="s">
        <v>6645</v>
      </c>
    </row>
    <row r="2042" spans="1:4" x14ac:dyDescent="0.35">
      <c r="A2042" t="s">
        <v>1628</v>
      </c>
      <c r="B2042" s="8" t="s">
        <v>1629</v>
      </c>
      <c r="C2042" t="s">
        <v>6843</v>
      </c>
      <c r="D2042" s="8" t="s">
        <v>6844</v>
      </c>
    </row>
    <row r="2043" spans="1:4" x14ac:dyDescent="0.35">
      <c r="A2043" t="s">
        <v>1628</v>
      </c>
      <c r="B2043" s="8" t="s">
        <v>1629</v>
      </c>
      <c r="C2043" t="s">
        <v>6588</v>
      </c>
      <c r="D2043" s="8" t="s">
        <v>6589</v>
      </c>
    </row>
    <row r="2044" spans="1:4" x14ac:dyDescent="0.35">
      <c r="A2044" t="s">
        <v>1630</v>
      </c>
      <c r="B2044" s="8" t="s">
        <v>1631</v>
      </c>
      <c r="C2044" t="s">
        <v>6644</v>
      </c>
      <c r="D2044" s="8" t="s">
        <v>6645</v>
      </c>
    </row>
    <row r="2045" spans="1:4" x14ac:dyDescent="0.35">
      <c r="A2045" t="s">
        <v>1630</v>
      </c>
      <c r="B2045" s="8" t="s">
        <v>1631</v>
      </c>
      <c r="C2045" t="s">
        <v>6843</v>
      </c>
      <c r="D2045" s="8" t="s">
        <v>6844</v>
      </c>
    </row>
    <row r="2046" spans="1:4" x14ac:dyDescent="0.35">
      <c r="A2046" t="s">
        <v>1630</v>
      </c>
      <c r="B2046" s="8" t="s">
        <v>1631</v>
      </c>
      <c r="C2046" t="s">
        <v>6189</v>
      </c>
      <c r="D2046" s="8" t="s">
        <v>6190</v>
      </c>
    </row>
    <row r="2047" spans="1:4" x14ac:dyDescent="0.35">
      <c r="A2047" t="s">
        <v>1630</v>
      </c>
      <c r="B2047" s="8" t="s">
        <v>1631</v>
      </c>
      <c r="C2047" t="s">
        <v>6833</v>
      </c>
      <c r="D2047" s="8" t="s">
        <v>6834</v>
      </c>
    </row>
    <row r="2048" spans="1:4" x14ac:dyDescent="0.35">
      <c r="A2048" t="s">
        <v>1630</v>
      </c>
      <c r="B2048" s="8" t="s">
        <v>1631</v>
      </c>
      <c r="C2048" t="s">
        <v>6588</v>
      </c>
      <c r="D2048" s="8" t="s">
        <v>6589</v>
      </c>
    </row>
    <row r="2049" spans="1:4" x14ac:dyDescent="0.35">
      <c r="A2049" t="s">
        <v>1632</v>
      </c>
      <c r="B2049" s="8" t="s">
        <v>1633</v>
      </c>
      <c r="C2049" t="s">
        <v>6644</v>
      </c>
      <c r="D2049" s="8" t="s">
        <v>6645</v>
      </c>
    </row>
    <row r="2050" spans="1:4" x14ac:dyDescent="0.35">
      <c r="A2050" t="s">
        <v>1632</v>
      </c>
      <c r="B2050" s="8" t="s">
        <v>1633</v>
      </c>
      <c r="C2050" t="s">
        <v>6833</v>
      </c>
      <c r="D2050" s="8" t="s">
        <v>6834</v>
      </c>
    </row>
    <row r="2051" spans="1:4" x14ac:dyDescent="0.35">
      <c r="A2051" t="s">
        <v>1632</v>
      </c>
      <c r="B2051" s="8" t="s">
        <v>1633</v>
      </c>
      <c r="C2051" t="s">
        <v>6588</v>
      </c>
      <c r="D2051" s="8" t="s">
        <v>6589</v>
      </c>
    </row>
    <row r="2052" spans="1:4" x14ac:dyDescent="0.35">
      <c r="A2052" t="s">
        <v>1634</v>
      </c>
      <c r="B2052" s="8" t="s">
        <v>1635</v>
      </c>
      <c r="C2052" t="s">
        <v>6644</v>
      </c>
      <c r="D2052" s="8" t="s">
        <v>6645</v>
      </c>
    </row>
    <row r="2053" spans="1:4" x14ac:dyDescent="0.35">
      <c r="A2053" t="s">
        <v>1634</v>
      </c>
      <c r="B2053" s="8" t="s">
        <v>1635</v>
      </c>
      <c r="C2053" t="s">
        <v>6833</v>
      </c>
      <c r="D2053" s="8" t="s">
        <v>6834</v>
      </c>
    </row>
    <row r="2054" spans="1:4" x14ac:dyDescent="0.35">
      <c r="A2054" t="s">
        <v>1634</v>
      </c>
      <c r="B2054" s="8" t="s">
        <v>1635</v>
      </c>
      <c r="C2054" t="s">
        <v>6588</v>
      </c>
      <c r="D2054" s="8" t="s">
        <v>6589</v>
      </c>
    </row>
    <row r="2055" spans="1:4" x14ac:dyDescent="0.35">
      <c r="A2055" t="s">
        <v>1636</v>
      </c>
      <c r="B2055" s="8" t="s">
        <v>1637</v>
      </c>
      <c r="C2055" t="s">
        <v>6644</v>
      </c>
      <c r="D2055" s="8" t="s">
        <v>6645</v>
      </c>
    </row>
    <row r="2056" spans="1:4" x14ac:dyDescent="0.35">
      <c r="A2056" t="s">
        <v>1636</v>
      </c>
      <c r="B2056" s="8" t="s">
        <v>1637</v>
      </c>
      <c r="C2056" t="s">
        <v>6843</v>
      </c>
      <c r="D2056" s="8" t="s">
        <v>6844</v>
      </c>
    </row>
    <row r="2057" spans="1:4" x14ac:dyDescent="0.35">
      <c r="A2057" t="s">
        <v>1636</v>
      </c>
      <c r="B2057" s="8" t="s">
        <v>1637</v>
      </c>
      <c r="C2057" t="s">
        <v>6833</v>
      </c>
      <c r="D2057" s="8" t="s">
        <v>6834</v>
      </c>
    </row>
    <row r="2058" spans="1:4" x14ac:dyDescent="0.35">
      <c r="A2058" t="s">
        <v>1636</v>
      </c>
      <c r="B2058" s="8" t="s">
        <v>1637</v>
      </c>
      <c r="C2058" t="s">
        <v>6588</v>
      </c>
      <c r="D2058" s="8" t="s">
        <v>6589</v>
      </c>
    </row>
    <row r="2059" spans="1:4" x14ac:dyDescent="0.35">
      <c r="A2059" t="s">
        <v>1638</v>
      </c>
      <c r="B2059" s="8" t="s">
        <v>1639</v>
      </c>
      <c r="C2059" t="s">
        <v>6644</v>
      </c>
      <c r="D2059" s="8" t="s">
        <v>6645</v>
      </c>
    </row>
    <row r="2060" spans="1:4" x14ac:dyDescent="0.35">
      <c r="A2060" t="s">
        <v>1638</v>
      </c>
      <c r="B2060" s="8" t="s">
        <v>1639</v>
      </c>
      <c r="C2060" t="s">
        <v>6833</v>
      </c>
      <c r="D2060" s="8" t="s">
        <v>6834</v>
      </c>
    </row>
    <row r="2061" spans="1:4" x14ac:dyDescent="0.35">
      <c r="A2061" t="s">
        <v>1638</v>
      </c>
      <c r="B2061" s="8" t="s">
        <v>1639</v>
      </c>
      <c r="C2061" t="s">
        <v>6588</v>
      </c>
      <c r="D2061" s="8" t="s">
        <v>6589</v>
      </c>
    </row>
    <row r="2062" spans="1:4" x14ac:dyDescent="0.35">
      <c r="A2062" t="s">
        <v>1640</v>
      </c>
      <c r="B2062" s="8" t="s">
        <v>1641</v>
      </c>
      <c r="C2062" t="s">
        <v>6644</v>
      </c>
      <c r="D2062" s="8" t="s">
        <v>6645</v>
      </c>
    </row>
    <row r="2063" spans="1:4" x14ac:dyDescent="0.35">
      <c r="A2063" t="s">
        <v>1640</v>
      </c>
      <c r="B2063" s="8" t="s">
        <v>1641</v>
      </c>
      <c r="C2063" t="s">
        <v>6111</v>
      </c>
      <c r="D2063" s="8" t="s">
        <v>6112</v>
      </c>
    </row>
    <row r="2064" spans="1:4" x14ac:dyDescent="0.35">
      <c r="A2064" t="s">
        <v>1640</v>
      </c>
      <c r="B2064" s="8" t="s">
        <v>1641</v>
      </c>
      <c r="C2064" t="s">
        <v>6833</v>
      </c>
      <c r="D2064" s="8" t="s">
        <v>6834</v>
      </c>
    </row>
    <row r="2065" spans="1:4" x14ac:dyDescent="0.35">
      <c r="A2065" t="s">
        <v>1640</v>
      </c>
      <c r="B2065" s="8" t="s">
        <v>1641</v>
      </c>
      <c r="C2065" t="s">
        <v>6588</v>
      </c>
      <c r="D2065" s="8" t="s">
        <v>6589</v>
      </c>
    </row>
    <row r="2066" spans="1:4" x14ac:dyDescent="0.35">
      <c r="A2066" t="s">
        <v>1642</v>
      </c>
      <c r="B2066" s="8" t="s">
        <v>1643</v>
      </c>
      <c r="C2066" t="s">
        <v>6644</v>
      </c>
      <c r="D2066" s="8" t="s">
        <v>6645</v>
      </c>
    </row>
    <row r="2067" spans="1:4" x14ac:dyDescent="0.35">
      <c r="A2067" t="s">
        <v>1642</v>
      </c>
      <c r="B2067" s="8" t="s">
        <v>1643</v>
      </c>
      <c r="C2067" t="s">
        <v>6111</v>
      </c>
      <c r="D2067" s="8" t="s">
        <v>6112</v>
      </c>
    </row>
    <row r="2068" spans="1:4" x14ac:dyDescent="0.35">
      <c r="A2068" t="s">
        <v>1642</v>
      </c>
      <c r="B2068" s="8" t="s">
        <v>1643</v>
      </c>
      <c r="C2068" t="s">
        <v>6833</v>
      </c>
      <c r="D2068" s="8" t="s">
        <v>6834</v>
      </c>
    </row>
    <row r="2069" spans="1:4" x14ac:dyDescent="0.35">
      <c r="A2069" t="s">
        <v>1642</v>
      </c>
      <c r="B2069" s="8" t="s">
        <v>1643</v>
      </c>
      <c r="C2069" t="s">
        <v>6588</v>
      </c>
      <c r="D2069" s="8" t="s">
        <v>6589</v>
      </c>
    </row>
    <row r="2070" spans="1:4" x14ac:dyDescent="0.35">
      <c r="A2070" t="s">
        <v>1644</v>
      </c>
      <c r="B2070" s="8" t="s">
        <v>1645</v>
      </c>
      <c r="C2070" t="s">
        <v>6644</v>
      </c>
      <c r="D2070" s="8" t="s">
        <v>6645</v>
      </c>
    </row>
    <row r="2071" spans="1:4" x14ac:dyDescent="0.35">
      <c r="A2071" t="s">
        <v>1644</v>
      </c>
      <c r="B2071" s="8" t="s">
        <v>1645</v>
      </c>
      <c r="C2071" t="s">
        <v>6111</v>
      </c>
      <c r="D2071" s="8" t="s">
        <v>6112</v>
      </c>
    </row>
    <row r="2072" spans="1:4" x14ac:dyDescent="0.35">
      <c r="A2072" t="s">
        <v>1644</v>
      </c>
      <c r="B2072" s="8" t="s">
        <v>1645</v>
      </c>
      <c r="C2072" t="s">
        <v>6833</v>
      </c>
      <c r="D2072" s="8" t="s">
        <v>6834</v>
      </c>
    </row>
    <row r="2073" spans="1:4" x14ac:dyDescent="0.35">
      <c r="A2073" t="s">
        <v>1644</v>
      </c>
      <c r="B2073" s="8" t="s">
        <v>1645</v>
      </c>
      <c r="C2073" t="s">
        <v>6588</v>
      </c>
      <c r="D2073" s="8" t="s">
        <v>6589</v>
      </c>
    </row>
    <row r="2074" spans="1:4" x14ac:dyDescent="0.35">
      <c r="A2074" t="s">
        <v>1646</v>
      </c>
      <c r="B2074" s="8" t="s">
        <v>1647</v>
      </c>
      <c r="C2074" t="s">
        <v>6111</v>
      </c>
      <c r="D2074" s="8" t="s">
        <v>6112</v>
      </c>
    </row>
    <row r="2075" spans="1:4" x14ac:dyDescent="0.35">
      <c r="A2075" t="s">
        <v>1646</v>
      </c>
      <c r="B2075" s="8" t="s">
        <v>1647</v>
      </c>
      <c r="C2075" t="s">
        <v>6833</v>
      </c>
      <c r="D2075" s="8" t="s">
        <v>6834</v>
      </c>
    </row>
    <row r="2076" spans="1:4" x14ac:dyDescent="0.35">
      <c r="A2076" t="s">
        <v>1648</v>
      </c>
      <c r="B2076" s="8" t="s">
        <v>1649</v>
      </c>
      <c r="C2076" t="s">
        <v>6644</v>
      </c>
      <c r="D2076" s="8" t="s">
        <v>6645</v>
      </c>
    </row>
    <row r="2077" spans="1:4" x14ac:dyDescent="0.35">
      <c r="A2077" t="s">
        <v>1648</v>
      </c>
      <c r="B2077" s="8" t="s">
        <v>1649</v>
      </c>
      <c r="C2077" t="s">
        <v>6111</v>
      </c>
      <c r="D2077" s="8" t="s">
        <v>6112</v>
      </c>
    </row>
    <row r="2078" spans="1:4" x14ac:dyDescent="0.35">
      <c r="A2078" t="s">
        <v>1648</v>
      </c>
      <c r="B2078" s="8" t="s">
        <v>1649</v>
      </c>
      <c r="C2078" t="s">
        <v>6833</v>
      </c>
      <c r="D2078" s="8" t="s">
        <v>6834</v>
      </c>
    </row>
    <row r="2079" spans="1:4" x14ac:dyDescent="0.35">
      <c r="A2079" t="s">
        <v>1648</v>
      </c>
      <c r="B2079" s="8" t="s">
        <v>1649</v>
      </c>
      <c r="C2079" t="s">
        <v>6588</v>
      </c>
      <c r="D2079" s="8" t="s">
        <v>6589</v>
      </c>
    </row>
    <row r="2080" spans="1:4" x14ac:dyDescent="0.35">
      <c r="A2080" t="s">
        <v>1650</v>
      </c>
      <c r="B2080" s="8" t="s">
        <v>1651</v>
      </c>
      <c r="C2080" t="s">
        <v>6644</v>
      </c>
      <c r="D2080" s="8" t="s">
        <v>6645</v>
      </c>
    </row>
    <row r="2081" spans="1:4" x14ac:dyDescent="0.35">
      <c r="A2081" t="s">
        <v>1650</v>
      </c>
      <c r="B2081" s="8" t="s">
        <v>1651</v>
      </c>
      <c r="C2081" t="s">
        <v>6833</v>
      </c>
      <c r="D2081" s="8" t="s">
        <v>6834</v>
      </c>
    </row>
    <row r="2082" spans="1:4" x14ac:dyDescent="0.35">
      <c r="A2082" t="s">
        <v>1650</v>
      </c>
      <c r="B2082" s="8" t="s">
        <v>1651</v>
      </c>
      <c r="C2082" t="s">
        <v>6845</v>
      </c>
      <c r="D2082" s="8" t="s">
        <v>6846</v>
      </c>
    </row>
    <row r="2083" spans="1:4" x14ac:dyDescent="0.35">
      <c r="A2083" t="s">
        <v>1650</v>
      </c>
      <c r="B2083" s="8" t="s">
        <v>1651</v>
      </c>
      <c r="C2083" t="s">
        <v>6841</v>
      </c>
      <c r="D2083" s="8" t="s">
        <v>6842</v>
      </c>
    </row>
    <row r="2084" spans="1:4" x14ac:dyDescent="0.35">
      <c r="A2084" t="s">
        <v>1650</v>
      </c>
      <c r="B2084" s="8" t="s">
        <v>1651</v>
      </c>
      <c r="C2084" t="s">
        <v>6588</v>
      </c>
      <c r="D2084" s="8" t="s">
        <v>6589</v>
      </c>
    </row>
    <row r="2085" spans="1:4" x14ac:dyDescent="0.35">
      <c r="A2085" t="s">
        <v>1650</v>
      </c>
      <c r="B2085" s="8" t="s">
        <v>1651</v>
      </c>
      <c r="C2085" t="s">
        <v>6194</v>
      </c>
      <c r="D2085" s="8" t="s">
        <v>6195</v>
      </c>
    </row>
    <row r="2086" spans="1:4" x14ac:dyDescent="0.35">
      <c r="A2086" t="s">
        <v>1650</v>
      </c>
      <c r="B2086" s="8" t="s">
        <v>1651</v>
      </c>
      <c r="C2086" t="s">
        <v>6847</v>
      </c>
      <c r="D2086" s="8" t="s">
        <v>6848</v>
      </c>
    </row>
    <row r="2087" spans="1:4" x14ac:dyDescent="0.35">
      <c r="A2087" t="s">
        <v>1652</v>
      </c>
      <c r="B2087" s="8" t="s">
        <v>1653</v>
      </c>
      <c r="C2087" t="s">
        <v>6644</v>
      </c>
      <c r="D2087" s="8" t="s">
        <v>6645</v>
      </c>
    </row>
    <row r="2088" spans="1:4" x14ac:dyDescent="0.35">
      <c r="A2088" t="s">
        <v>1652</v>
      </c>
      <c r="B2088" s="8" t="s">
        <v>1653</v>
      </c>
      <c r="C2088" t="s">
        <v>6833</v>
      </c>
      <c r="D2088" s="8" t="s">
        <v>6834</v>
      </c>
    </row>
    <row r="2089" spans="1:4" x14ac:dyDescent="0.35">
      <c r="A2089" t="s">
        <v>1652</v>
      </c>
      <c r="B2089" s="8" t="s">
        <v>1653</v>
      </c>
      <c r="C2089" t="s">
        <v>6841</v>
      </c>
      <c r="D2089" s="8" t="s">
        <v>6842</v>
      </c>
    </row>
    <row r="2090" spans="1:4" x14ac:dyDescent="0.35">
      <c r="A2090" t="s">
        <v>1652</v>
      </c>
      <c r="B2090" s="8" t="s">
        <v>1653</v>
      </c>
      <c r="C2090" t="s">
        <v>6588</v>
      </c>
      <c r="D2090" s="8" t="s">
        <v>6589</v>
      </c>
    </row>
    <row r="2091" spans="1:4" x14ac:dyDescent="0.35">
      <c r="A2091" t="s">
        <v>1652</v>
      </c>
      <c r="B2091" s="8" t="s">
        <v>1653</v>
      </c>
      <c r="C2091" t="s">
        <v>6194</v>
      </c>
      <c r="D2091" s="8" t="s">
        <v>6195</v>
      </c>
    </row>
    <row r="2092" spans="1:4" x14ac:dyDescent="0.35">
      <c r="A2092" t="s">
        <v>1654</v>
      </c>
      <c r="B2092" s="8" t="s">
        <v>1655</v>
      </c>
      <c r="C2092" t="s">
        <v>6833</v>
      </c>
      <c r="D2092" s="8" t="s">
        <v>6834</v>
      </c>
    </row>
    <row r="2093" spans="1:4" x14ac:dyDescent="0.35">
      <c r="A2093" t="s">
        <v>1654</v>
      </c>
      <c r="B2093" s="8" t="s">
        <v>1655</v>
      </c>
      <c r="C2093" t="s">
        <v>6841</v>
      </c>
      <c r="D2093" s="8" t="s">
        <v>6842</v>
      </c>
    </row>
    <row r="2094" spans="1:4" x14ac:dyDescent="0.35">
      <c r="A2094" t="s">
        <v>1654</v>
      </c>
      <c r="B2094" s="8" t="s">
        <v>1655</v>
      </c>
      <c r="C2094" t="s">
        <v>6588</v>
      </c>
      <c r="D2094" s="8" t="s">
        <v>6589</v>
      </c>
    </row>
    <row r="2095" spans="1:4" x14ac:dyDescent="0.35">
      <c r="A2095" t="s">
        <v>1654</v>
      </c>
      <c r="B2095" s="8" t="s">
        <v>1655</v>
      </c>
      <c r="C2095" t="s">
        <v>6194</v>
      </c>
      <c r="D2095" s="8" t="s">
        <v>6195</v>
      </c>
    </row>
    <row r="2096" spans="1:4" x14ac:dyDescent="0.35">
      <c r="A2096" t="s">
        <v>1656</v>
      </c>
      <c r="B2096" s="8" t="s">
        <v>1657</v>
      </c>
      <c r="C2096" t="s">
        <v>6644</v>
      </c>
      <c r="D2096" s="8" t="s">
        <v>6645</v>
      </c>
    </row>
    <row r="2097" spans="1:4" x14ac:dyDescent="0.35">
      <c r="A2097" t="s">
        <v>1656</v>
      </c>
      <c r="B2097" s="8" t="s">
        <v>1657</v>
      </c>
      <c r="C2097" t="s">
        <v>6833</v>
      </c>
      <c r="D2097" s="8" t="s">
        <v>6834</v>
      </c>
    </row>
    <row r="2098" spans="1:4" x14ac:dyDescent="0.35">
      <c r="A2098" t="s">
        <v>1656</v>
      </c>
      <c r="B2098" s="8" t="s">
        <v>1657</v>
      </c>
      <c r="C2098" t="s">
        <v>6841</v>
      </c>
      <c r="D2098" s="8" t="s">
        <v>6842</v>
      </c>
    </row>
    <row r="2099" spans="1:4" x14ac:dyDescent="0.35">
      <c r="A2099" t="s">
        <v>1656</v>
      </c>
      <c r="B2099" s="8" t="s">
        <v>1657</v>
      </c>
      <c r="C2099" t="s">
        <v>6837</v>
      </c>
      <c r="D2099" s="8" t="s">
        <v>6838</v>
      </c>
    </row>
    <row r="2100" spans="1:4" x14ac:dyDescent="0.35">
      <c r="A2100" t="s">
        <v>1656</v>
      </c>
      <c r="B2100" s="8" t="s">
        <v>1657</v>
      </c>
      <c r="C2100" t="s">
        <v>6588</v>
      </c>
      <c r="D2100" s="8" t="s">
        <v>6589</v>
      </c>
    </row>
    <row r="2101" spans="1:4" x14ac:dyDescent="0.35">
      <c r="A2101" t="s">
        <v>1658</v>
      </c>
      <c r="B2101" s="8" t="s">
        <v>1659</v>
      </c>
      <c r="C2101" t="s">
        <v>6833</v>
      </c>
      <c r="D2101" s="8" t="s">
        <v>6834</v>
      </c>
    </row>
    <row r="2102" spans="1:4" x14ac:dyDescent="0.35">
      <c r="A2102" t="s">
        <v>1658</v>
      </c>
      <c r="B2102" s="8" t="s">
        <v>1659</v>
      </c>
      <c r="C2102" t="s">
        <v>6841</v>
      </c>
      <c r="D2102" s="8" t="s">
        <v>6842</v>
      </c>
    </row>
    <row r="2103" spans="1:4" x14ac:dyDescent="0.35">
      <c r="A2103" t="s">
        <v>1658</v>
      </c>
      <c r="B2103" s="8" t="s">
        <v>1659</v>
      </c>
      <c r="C2103" t="s">
        <v>6588</v>
      </c>
      <c r="D2103" s="8" t="s">
        <v>6589</v>
      </c>
    </row>
    <row r="2104" spans="1:4" x14ac:dyDescent="0.35">
      <c r="A2104" t="s">
        <v>1660</v>
      </c>
      <c r="B2104" s="8" t="s">
        <v>1661</v>
      </c>
      <c r="C2104" t="s">
        <v>6644</v>
      </c>
      <c r="D2104" s="8" t="s">
        <v>6645</v>
      </c>
    </row>
    <row r="2105" spans="1:4" x14ac:dyDescent="0.35">
      <c r="A2105" t="s">
        <v>1660</v>
      </c>
      <c r="B2105" s="8" t="s">
        <v>1661</v>
      </c>
      <c r="C2105" t="s">
        <v>6843</v>
      </c>
      <c r="D2105" s="8" t="s">
        <v>6844</v>
      </c>
    </row>
    <row r="2106" spans="1:4" x14ac:dyDescent="0.35">
      <c r="A2106" t="s">
        <v>1660</v>
      </c>
      <c r="B2106" s="8" t="s">
        <v>1661</v>
      </c>
      <c r="C2106" t="s">
        <v>6189</v>
      </c>
      <c r="D2106" s="8" t="s">
        <v>6190</v>
      </c>
    </row>
    <row r="2107" spans="1:4" x14ac:dyDescent="0.35">
      <c r="A2107" t="s">
        <v>1660</v>
      </c>
      <c r="B2107" s="8" t="s">
        <v>1661</v>
      </c>
      <c r="C2107" t="s">
        <v>6833</v>
      </c>
      <c r="D2107" s="8" t="s">
        <v>6834</v>
      </c>
    </row>
    <row r="2108" spans="1:4" x14ac:dyDescent="0.35">
      <c r="A2108" t="s">
        <v>1660</v>
      </c>
      <c r="B2108" s="8" t="s">
        <v>1661</v>
      </c>
      <c r="C2108" t="s">
        <v>6588</v>
      </c>
      <c r="D2108" s="8" t="s">
        <v>6589</v>
      </c>
    </row>
    <row r="2109" spans="1:4" x14ac:dyDescent="0.35">
      <c r="A2109" t="s">
        <v>1662</v>
      </c>
      <c r="B2109" s="8" t="s">
        <v>1663</v>
      </c>
      <c r="C2109" t="s">
        <v>6644</v>
      </c>
      <c r="D2109" s="8" t="s">
        <v>6645</v>
      </c>
    </row>
    <row r="2110" spans="1:4" x14ac:dyDescent="0.35">
      <c r="A2110" t="s">
        <v>1662</v>
      </c>
      <c r="B2110" s="8" t="s">
        <v>1663</v>
      </c>
      <c r="C2110" t="s">
        <v>6189</v>
      </c>
      <c r="D2110" s="8" t="s">
        <v>6190</v>
      </c>
    </row>
    <row r="2111" spans="1:4" x14ac:dyDescent="0.35">
      <c r="A2111" t="s">
        <v>1662</v>
      </c>
      <c r="B2111" s="8" t="s">
        <v>1663</v>
      </c>
      <c r="C2111" t="s">
        <v>6155</v>
      </c>
      <c r="D2111" s="8" t="s">
        <v>6156</v>
      </c>
    </row>
    <row r="2112" spans="1:4" x14ac:dyDescent="0.35">
      <c r="A2112" t="s">
        <v>1662</v>
      </c>
      <c r="B2112" s="8" t="s">
        <v>1663</v>
      </c>
      <c r="C2112" t="s">
        <v>6837</v>
      </c>
      <c r="D2112" s="8" t="s">
        <v>6838</v>
      </c>
    </row>
    <row r="2113" spans="1:4" x14ac:dyDescent="0.35">
      <c r="A2113" t="s">
        <v>1662</v>
      </c>
      <c r="B2113" s="8" t="s">
        <v>1663</v>
      </c>
      <c r="C2113" t="s">
        <v>6588</v>
      </c>
      <c r="D2113" s="8" t="s">
        <v>6589</v>
      </c>
    </row>
    <row r="2114" spans="1:4" x14ac:dyDescent="0.35">
      <c r="A2114" t="s">
        <v>1664</v>
      </c>
      <c r="B2114" s="8" t="s">
        <v>1665</v>
      </c>
      <c r="C2114" t="s">
        <v>6644</v>
      </c>
      <c r="D2114" s="8" t="s">
        <v>6645</v>
      </c>
    </row>
    <row r="2115" spans="1:4" x14ac:dyDescent="0.35">
      <c r="A2115" t="s">
        <v>1664</v>
      </c>
      <c r="B2115" s="8" t="s">
        <v>1665</v>
      </c>
      <c r="C2115" t="s">
        <v>6833</v>
      </c>
      <c r="D2115" s="8" t="s">
        <v>6834</v>
      </c>
    </row>
    <row r="2116" spans="1:4" x14ac:dyDescent="0.35">
      <c r="A2116" t="s">
        <v>1664</v>
      </c>
      <c r="B2116" s="8" t="s">
        <v>1665</v>
      </c>
      <c r="C2116" t="s">
        <v>6841</v>
      </c>
      <c r="D2116" s="8" t="s">
        <v>6842</v>
      </c>
    </row>
    <row r="2117" spans="1:4" x14ac:dyDescent="0.35">
      <c r="A2117" t="s">
        <v>1664</v>
      </c>
      <c r="B2117" s="8" t="s">
        <v>1665</v>
      </c>
      <c r="C2117" t="s">
        <v>6837</v>
      </c>
      <c r="D2117" s="8" t="s">
        <v>6838</v>
      </c>
    </row>
    <row r="2118" spans="1:4" x14ac:dyDescent="0.35">
      <c r="A2118" t="s">
        <v>1664</v>
      </c>
      <c r="B2118" s="8" t="s">
        <v>1665</v>
      </c>
      <c r="C2118" t="s">
        <v>6588</v>
      </c>
      <c r="D2118" s="8" t="s">
        <v>6589</v>
      </c>
    </row>
    <row r="2119" spans="1:4" x14ac:dyDescent="0.35">
      <c r="A2119" t="s">
        <v>1664</v>
      </c>
      <c r="B2119" s="8" t="s">
        <v>1665</v>
      </c>
      <c r="C2119" t="s">
        <v>6194</v>
      </c>
      <c r="D2119" s="8" t="s">
        <v>6195</v>
      </c>
    </row>
    <row r="2120" spans="1:4" x14ac:dyDescent="0.35">
      <c r="A2120" t="s">
        <v>1666</v>
      </c>
      <c r="B2120" s="8" t="s">
        <v>1667</v>
      </c>
      <c r="C2120" t="s">
        <v>6644</v>
      </c>
      <c r="D2120" s="8" t="s">
        <v>6645</v>
      </c>
    </row>
    <row r="2121" spans="1:4" x14ac:dyDescent="0.35">
      <c r="A2121" t="s">
        <v>1666</v>
      </c>
      <c r="B2121" s="8" t="s">
        <v>1667</v>
      </c>
      <c r="C2121" t="s">
        <v>6189</v>
      </c>
      <c r="D2121" s="8" t="s">
        <v>6190</v>
      </c>
    </row>
    <row r="2122" spans="1:4" x14ac:dyDescent="0.35">
      <c r="A2122" t="s">
        <v>1666</v>
      </c>
      <c r="B2122" s="8" t="s">
        <v>1667</v>
      </c>
      <c r="C2122" t="s">
        <v>6833</v>
      </c>
      <c r="D2122" s="8" t="s">
        <v>6834</v>
      </c>
    </row>
    <row r="2123" spans="1:4" x14ac:dyDescent="0.35">
      <c r="A2123" t="s">
        <v>1666</v>
      </c>
      <c r="B2123" s="8" t="s">
        <v>1667</v>
      </c>
      <c r="C2123" t="s">
        <v>6841</v>
      </c>
      <c r="D2123" s="8" t="s">
        <v>6842</v>
      </c>
    </row>
    <row r="2124" spans="1:4" x14ac:dyDescent="0.35">
      <c r="A2124" t="s">
        <v>1666</v>
      </c>
      <c r="B2124" s="8" t="s">
        <v>1667</v>
      </c>
      <c r="C2124" t="s">
        <v>6588</v>
      </c>
      <c r="D2124" s="8" t="s">
        <v>6589</v>
      </c>
    </row>
    <row r="2125" spans="1:4" x14ac:dyDescent="0.35">
      <c r="A2125" t="s">
        <v>1668</v>
      </c>
      <c r="B2125" s="8" t="s">
        <v>1669</v>
      </c>
      <c r="C2125" t="s">
        <v>6644</v>
      </c>
      <c r="D2125" s="8" t="s">
        <v>6645</v>
      </c>
    </row>
    <row r="2126" spans="1:4" x14ac:dyDescent="0.35">
      <c r="A2126" t="s">
        <v>1668</v>
      </c>
      <c r="B2126" s="8" t="s">
        <v>1669</v>
      </c>
      <c r="C2126" t="s">
        <v>6189</v>
      </c>
      <c r="D2126" s="8" t="s">
        <v>6190</v>
      </c>
    </row>
    <row r="2127" spans="1:4" x14ac:dyDescent="0.35">
      <c r="A2127" t="s">
        <v>1668</v>
      </c>
      <c r="B2127" s="8" t="s">
        <v>1669</v>
      </c>
      <c r="C2127" t="s">
        <v>6833</v>
      </c>
      <c r="D2127" s="8" t="s">
        <v>6834</v>
      </c>
    </row>
    <row r="2128" spans="1:4" x14ac:dyDescent="0.35">
      <c r="A2128" t="s">
        <v>1668</v>
      </c>
      <c r="B2128" s="8" t="s">
        <v>1669</v>
      </c>
      <c r="C2128" t="s">
        <v>6841</v>
      </c>
      <c r="D2128" s="8" t="s">
        <v>6842</v>
      </c>
    </row>
    <row r="2129" spans="1:4" x14ac:dyDescent="0.35">
      <c r="A2129" t="s">
        <v>1668</v>
      </c>
      <c r="B2129" s="8" t="s">
        <v>1669</v>
      </c>
      <c r="C2129" t="s">
        <v>6588</v>
      </c>
      <c r="D2129" s="8" t="s">
        <v>6589</v>
      </c>
    </row>
    <row r="2130" spans="1:4" x14ac:dyDescent="0.35">
      <c r="A2130" t="s">
        <v>1670</v>
      </c>
      <c r="B2130" s="8" t="s">
        <v>1671</v>
      </c>
      <c r="C2130" t="s">
        <v>6833</v>
      </c>
      <c r="D2130" s="8" t="s">
        <v>6834</v>
      </c>
    </row>
    <row r="2131" spans="1:4" x14ac:dyDescent="0.35">
      <c r="A2131" t="s">
        <v>1670</v>
      </c>
      <c r="B2131" s="8" t="s">
        <v>1671</v>
      </c>
      <c r="C2131" t="s">
        <v>6588</v>
      </c>
      <c r="D2131" s="8" t="s">
        <v>6589</v>
      </c>
    </row>
    <row r="2132" spans="1:4" x14ac:dyDescent="0.35">
      <c r="A2132" t="s">
        <v>1672</v>
      </c>
      <c r="B2132" s="8" t="s">
        <v>1673</v>
      </c>
      <c r="C2132" t="s">
        <v>6644</v>
      </c>
      <c r="D2132" s="8" t="s">
        <v>6645</v>
      </c>
    </row>
    <row r="2133" spans="1:4" x14ac:dyDescent="0.35">
      <c r="A2133" t="s">
        <v>1672</v>
      </c>
      <c r="B2133" s="8" t="s">
        <v>1673</v>
      </c>
      <c r="C2133" t="s">
        <v>6189</v>
      </c>
      <c r="D2133" s="8" t="s">
        <v>6190</v>
      </c>
    </row>
    <row r="2134" spans="1:4" x14ac:dyDescent="0.35">
      <c r="A2134" t="s">
        <v>1672</v>
      </c>
      <c r="B2134" s="8" t="s">
        <v>1673</v>
      </c>
      <c r="C2134" t="s">
        <v>6833</v>
      </c>
      <c r="D2134" s="8" t="s">
        <v>6834</v>
      </c>
    </row>
    <row r="2135" spans="1:4" x14ac:dyDescent="0.35">
      <c r="A2135" t="s">
        <v>1672</v>
      </c>
      <c r="B2135" s="8" t="s">
        <v>1673</v>
      </c>
      <c r="C2135" t="s">
        <v>6841</v>
      </c>
      <c r="D2135" s="8" t="s">
        <v>6842</v>
      </c>
    </row>
    <row r="2136" spans="1:4" x14ac:dyDescent="0.35">
      <c r="A2136" t="s">
        <v>1672</v>
      </c>
      <c r="B2136" s="8" t="s">
        <v>1673</v>
      </c>
      <c r="C2136" t="s">
        <v>6588</v>
      </c>
      <c r="D2136" s="8" t="s">
        <v>6589</v>
      </c>
    </row>
    <row r="2137" spans="1:4" x14ac:dyDescent="0.35">
      <c r="A2137" t="s">
        <v>1674</v>
      </c>
      <c r="B2137" s="8" t="s">
        <v>1675</v>
      </c>
      <c r="C2137" t="s">
        <v>6644</v>
      </c>
      <c r="D2137" s="8" t="s">
        <v>6645</v>
      </c>
    </row>
    <row r="2138" spans="1:4" x14ac:dyDescent="0.35">
      <c r="A2138" t="s">
        <v>1674</v>
      </c>
      <c r="B2138" s="8" t="s">
        <v>1675</v>
      </c>
      <c r="C2138" t="s">
        <v>6189</v>
      </c>
      <c r="D2138" s="8" t="s">
        <v>6190</v>
      </c>
    </row>
    <row r="2139" spans="1:4" x14ac:dyDescent="0.35">
      <c r="A2139" t="s">
        <v>1674</v>
      </c>
      <c r="B2139" s="8" t="s">
        <v>1675</v>
      </c>
      <c r="C2139" t="s">
        <v>6833</v>
      </c>
      <c r="D2139" s="8" t="s">
        <v>6834</v>
      </c>
    </row>
    <row r="2140" spans="1:4" x14ac:dyDescent="0.35">
      <c r="A2140" t="s">
        <v>1674</v>
      </c>
      <c r="B2140" s="8" t="s">
        <v>1675</v>
      </c>
      <c r="C2140" t="s">
        <v>6841</v>
      </c>
      <c r="D2140" s="8" t="s">
        <v>6842</v>
      </c>
    </row>
    <row r="2141" spans="1:4" x14ac:dyDescent="0.35">
      <c r="A2141" t="s">
        <v>1674</v>
      </c>
      <c r="B2141" s="8" t="s">
        <v>1675</v>
      </c>
      <c r="C2141" t="s">
        <v>6837</v>
      </c>
      <c r="D2141" s="8" t="s">
        <v>6838</v>
      </c>
    </row>
    <row r="2142" spans="1:4" x14ac:dyDescent="0.35">
      <c r="A2142" t="s">
        <v>1674</v>
      </c>
      <c r="B2142" s="8" t="s">
        <v>1675</v>
      </c>
      <c r="C2142" t="s">
        <v>6588</v>
      </c>
      <c r="D2142" s="8" t="s">
        <v>6589</v>
      </c>
    </row>
    <row r="2143" spans="1:4" x14ac:dyDescent="0.35">
      <c r="A2143" t="s">
        <v>6849</v>
      </c>
      <c r="B2143" s="8" t="s">
        <v>1676</v>
      </c>
      <c r="C2143" t="s">
        <v>6211</v>
      </c>
      <c r="D2143" s="8" t="s">
        <v>6212</v>
      </c>
    </row>
    <row r="2144" spans="1:4" x14ac:dyDescent="0.35">
      <c r="A2144" t="s">
        <v>6849</v>
      </c>
      <c r="B2144" s="8" t="s">
        <v>1676</v>
      </c>
      <c r="C2144" t="s">
        <v>6833</v>
      </c>
      <c r="D2144" s="8" t="s">
        <v>6834</v>
      </c>
    </row>
    <row r="2145" spans="1:4" x14ac:dyDescent="0.35">
      <c r="A2145" t="s">
        <v>6849</v>
      </c>
      <c r="B2145" s="8" t="s">
        <v>1676</v>
      </c>
      <c r="C2145" t="s">
        <v>6845</v>
      </c>
      <c r="D2145" s="8" t="s">
        <v>6846</v>
      </c>
    </row>
    <row r="2146" spans="1:4" x14ac:dyDescent="0.35">
      <c r="A2146" t="s">
        <v>6849</v>
      </c>
      <c r="B2146" s="8" t="s">
        <v>1676</v>
      </c>
      <c r="C2146" t="s">
        <v>6841</v>
      </c>
      <c r="D2146" s="8" t="s">
        <v>6842</v>
      </c>
    </row>
    <row r="2147" spans="1:4" x14ac:dyDescent="0.35">
      <c r="A2147" t="s">
        <v>1677</v>
      </c>
      <c r="B2147" s="8" t="s">
        <v>1678</v>
      </c>
      <c r="C2147" t="s">
        <v>6644</v>
      </c>
      <c r="D2147" s="8" t="s">
        <v>6645</v>
      </c>
    </row>
    <row r="2148" spans="1:4" x14ac:dyDescent="0.35">
      <c r="A2148" t="s">
        <v>1677</v>
      </c>
      <c r="B2148" s="8" t="s">
        <v>1678</v>
      </c>
      <c r="C2148" t="s">
        <v>6189</v>
      </c>
      <c r="D2148" s="8" t="s">
        <v>6190</v>
      </c>
    </row>
    <row r="2149" spans="1:4" x14ac:dyDescent="0.35">
      <c r="A2149" t="s">
        <v>1677</v>
      </c>
      <c r="B2149" s="8" t="s">
        <v>1678</v>
      </c>
      <c r="C2149" t="s">
        <v>6588</v>
      </c>
      <c r="D2149" s="8" t="s">
        <v>6589</v>
      </c>
    </row>
    <row r="2150" spans="1:4" x14ac:dyDescent="0.35">
      <c r="A2150" t="s">
        <v>1679</v>
      </c>
      <c r="B2150" s="8" t="s">
        <v>1680</v>
      </c>
      <c r="C2150" t="s">
        <v>6644</v>
      </c>
      <c r="D2150" s="8" t="s">
        <v>6645</v>
      </c>
    </row>
    <row r="2151" spans="1:4" x14ac:dyDescent="0.35">
      <c r="A2151" t="s">
        <v>1679</v>
      </c>
      <c r="B2151" s="8" t="s">
        <v>1680</v>
      </c>
      <c r="C2151" t="s">
        <v>6273</v>
      </c>
      <c r="D2151" s="8" t="s">
        <v>6274</v>
      </c>
    </row>
    <row r="2152" spans="1:4" x14ac:dyDescent="0.35">
      <c r="A2152" t="s">
        <v>1679</v>
      </c>
      <c r="B2152" s="8" t="s">
        <v>1680</v>
      </c>
      <c r="C2152" t="s">
        <v>6837</v>
      </c>
      <c r="D2152" s="8" t="s">
        <v>6838</v>
      </c>
    </row>
    <row r="2153" spans="1:4" x14ac:dyDescent="0.35">
      <c r="A2153" t="s">
        <v>1679</v>
      </c>
      <c r="B2153" s="8" t="s">
        <v>1680</v>
      </c>
      <c r="C2153" t="s">
        <v>6588</v>
      </c>
      <c r="D2153" s="8" t="s">
        <v>6589</v>
      </c>
    </row>
    <row r="2154" spans="1:4" x14ac:dyDescent="0.35">
      <c r="A2154" t="s">
        <v>1681</v>
      </c>
      <c r="B2154" s="8" t="s">
        <v>1682</v>
      </c>
      <c r="C2154" t="s">
        <v>6644</v>
      </c>
      <c r="D2154" s="8" t="s">
        <v>6645</v>
      </c>
    </row>
    <row r="2155" spans="1:4" x14ac:dyDescent="0.35">
      <c r="A2155" t="s">
        <v>1681</v>
      </c>
      <c r="B2155" s="8" t="s">
        <v>1682</v>
      </c>
      <c r="C2155" t="s">
        <v>6273</v>
      </c>
      <c r="D2155" s="8" t="s">
        <v>6274</v>
      </c>
    </row>
    <row r="2156" spans="1:4" x14ac:dyDescent="0.35">
      <c r="A2156" t="s">
        <v>1681</v>
      </c>
      <c r="B2156" s="8" t="s">
        <v>1682</v>
      </c>
      <c r="C2156" t="s">
        <v>6833</v>
      </c>
      <c r="D2156" s="8" t="s">
        <v>6834</v>
      </c>
    </row>
    <row r="2157" spans="1:4" x14ac:dyDescent="0.35">
      <c r="A2157" t="s">
        <v>1681</v>
      </c>
      <c r="B2157" s="8" t="s">
        <v>1682</v>
      </c>
      <c r="C2157" t="s">
        <v>6588</v>
      </c>
      <c r="D2157" s="8" t="s">
        <v>6589</v>
      </c>
    </row>
    <row r="2158" spans="1:4" x14ac:dyDescent="0.35">
      <c r="A2158" t="s">
        <v>1683</v>
      </c>
      <c r="B2158" s="8" t="s">
        <v>1684</v>
      </c>
      <c r="C2158" t="s">
        <v>6644</v>
      </c>
      <c r="D2158" s="8" t="s">
        <v>6645</v>
      </c>
    </row>
    <row r="2159" spans="1:4" x14ac:dyDescent="0.35">
      <c r="A2159" t="s">
        <v>1683</v>
      </c>
      <c r="B2159" s="8" t="s">
        <v>1684</v>
      </c>
      <c r="C2159" t="s">
        <v>6273</v>
      </c>
      <c r="D2159" s="8" t="s">
        <v>6274</v>
      </c>
    </row>
    <row r="2160" spans="1:4" x14ac:dyDescent="0.35">
      <c r="A2160" t="s">
        <v>1683</v>
      </c>
      <c r="B2160" s="8" t="s">
        <v>1684</v>
      </c>
      <c r="C2160" t="s">
        <v>6833</v>
      </c>
      <c r="D2160" s="8" t="s">
        <v>6834</v>
      </c>
    </row>
    <row r="2161" spans="1:4" x14ac:dyDescent="0.35">
      <c r="A2161" t="s">
        <v>1683</v>
      </c>
      <c r="B2161" s="8" t="s">
        <v>1684</v>
      </c>
      <c r="C2161" t="s">
        <v>6588</v>
      </c>
      <c r="D2161" s="8" t="s">
        <v>6589</v>
      </c>
    </row>
    <row r="2162" spans="1:4" x14ac:dyDescent="0.35">
      <c r="A2162" t="s">
        <v>1685</v>
      </c>
      <c r="B2162" s="8" t="s">
        <v>1686</v>
      </c>
      <c r="C2162" t="s">
        <v>6273</v>
      </c>
      <c r="D2162" s="8" t="s">
        <v>6274</v>
      </c>
    </row>
    <row r="2163" spans="1:4" x14ac:dyDescent="0.35">
      <c r="A2163" t="s">
        <v>1685</v>
      </c>
      <c r="B2163" s="8" t="s">
        <v>1686</v>
      </c>
      <c r="C2163" t="s">
        <v>6837</v>
      </c>
      <c r="D2163" s="8" t="s">
        <v>6838</v>
      </c>
    </row>
    <row r="2164" spans="1:4" x14ac:dyDescent="0.35">
      <c r="A2164" t="s">
        <v>1687</v>
      </c>
      <c r="B2164" s="8" t="s">
        <v>1688</v>
      </c>
      <c r="C2164" t="s">
        <v>6273</v>
      </c>
      <c r="D2164" s="8" t="s">
        <v>6274</v>
      </c>
    </row>
    <row r="2165" spans="1:4" x14ac:dyDescent="0.35">
      <c r="A2165" t="s">
        <v>1687</v>
      </c>
      <c r="B2165" s="8" t="s">
        <v>1688</v>
      </c>
      <c r="C2165" t="s">
        <v>6837</v>
      </c>
      <c r="D2165" s="8" t="s">
        <v>6838</v>
      </c>
    </row>
    <row r="2166" spans="1:4" x14ac:dyDescent="0.35">
      <c r="A2166" t="s">
        <v>1689</v>
      </c>
      <c r="B2166" s="8" t="s">
        <v>1690</v>
      </c>
      <c r="C2166" t="s">
        <v>6644</v>
      </c>
      <c r="D2166" s="8" t="s">
        <v>6645</v>
      </c>
    </row>
    <row r="2167" spans="1:4" x14ac:dyDescent="0.35">
      <c r="A2167" t="s">
        <v>1689</v>
      </c>
      <c r="B2167" s="8" t="s">
        <v>1690</v>
      </c>
      <c r="C2167" t="s">
        <v>6273</v>
      </c>
      <c r="D2167" s="8" t="s">
        <v>6274</v>
      </c>
    </row>
    <row r="2168" spans="1:4" x14ac:dyDescent="0.35">
      <c r="A2168" t="s">
        <v>1689</v>
      </c>
      <c r="B2168" s="8" t="s">
        <v>1690</v>
      </c>
      <c r="C2168" t="s">
        <v>6588</v>
      </c>
      <c r="D2168" s="8" t="s">
        <v>6589</v>
      </c>
    </row>
    <row r="2169" spans="1:4" x14ac:dyDescent="0.35">
      <c r="A2169" t="s">
        <v>1691</v>
      </c>
      <c r="B2169" s="8" t="s">
        <v>1692</v>
      </c>
      <c r="C2169" t="s">
        <v>6833</v>
      </c>
      <c r="D2169" s="8" t="s">
        <v>6834</v>
      </c>
    </row>
    <row r="2170" spans="1:4" x14ac:dyDescent="0.35">
      <c r="A2170" t="s">
        <v>1691</v>
      </c>
      <c r="B2170" s="8" t="s">
        <v>1692</v>
      </c>
      <c r="C2170" t="s">
        <v>6837</v>
      </c>
      <c r="D2170" s="8" t="s">
        <v>6838</v>
      </c>
    </row>
    <row r="2171" spans="1:4" x14ac:dyDescent="0.35">
      <c r="A2171" t="s">
        <v>1691</v>
      </c>
      <c r="B2171" s="8" t="s">
        <v>1692</v>
      </c>
      <c r="C2171" t="s">
        <v>6588</v>
      </c>
      <c r="D2171" s="8" t="s">
        <v>6589</v>
      </c>
    </row>
    <row r="2172" spans="1:4" x14ac:dyDescent="0.35">
      <c r="A2172" t="s">
        <v>1691</v>
      </c>
      <c r="B2172" s="8" t="s">
        <v>1692</v>
      </c>
      <c r="C2172" t="s">
        <v>6850</v>
      </c>
      <c r="D2172" s="8" t="s">
        <v>6851</v>
      </c>
    </row>
    <row r="2173" spans="1:4" x14ac:dyDescent="0.35">
      <c r="A2173" t="s">
        <v>1693</v>
      </c>
      <c r="B2173" s="8" t="s">
        <v>1694</v>
      </c>
      <c r="C2173" t="s">
        <v>6644</v>
      </c>
      <c r="D2173" s="8" t="s">
        <v>6645</v>
      </c>
    </row>
    <row r="2174" spans="1:4" x14ac:dyDescent="0.35">
      <c r="A2174" t="s">
        <v>1693</v>
      </c>
      <c r="B2174" s="8" t="s">
        <v>1694</v>
      </c>
      <c r="C2174" t="s">
        <v>6833</v>
      </c>
      <c r="D2174" s="8" t="s">
        <v>6834</v>
      </c>
    </row>
    <row r="2175" spans="1:4" x14ac:dyDescent="0.35">
      <c r="A2175" t="s">
        <v>1693</v>
      </c>
      <c r="B2175" s="8" t="s">
        <v>1694</v>
      </c>
      <c r="C2175" t="s">
        <v>6588</v>
      </c>
      <c r="D2175" s="8" t="s">
        <v>6589</v>
      </c>
    </row>
    <row r="2176" spans="1:4" x14ac:dyDescent="0.35">
      <c r="A2176" t="s">
        <v>1693</v>
      </c>
      <c r="B2176" s="8" t="s">
        <v>1694</v>
      </c>
      <c r="C2176" t="s">
        <v>6850</v>
      </c>
      <c r="D2176" s="8" t="s">
        <v>6851</v>
      </c>
    </row>
    <row r="2177" spans="1:4" x14ac:dyDescent="0.35">
      <c r="A2177" t="s">
        <v>1695</v>
      </c>
      <c r="B2177" s="8" t="s">
        <v>1696</v>
      </c>
      <c r="C2177" t="s">
        <v>6833</v>
      </c>
      <c r="D2177" s="8" t="s">
        <v>6834</v>
      </c>
    </row>
    <row r="2178" spans="1:4" x14ac:dyDescent="0.35">
      <c r="A2178" t="s">
        <v>1695</v>
      </c>
      <c r="B2178" s="8" t="s">
        <v>1696</v>
      </c>
      <c r="C2178" t="s">
        <v>6588</v>
      </c>
      <c r="D2178" s="8" t="s">
        <v>6589</v>
      </c>
    </row>
    <row r="2179" spans="1:4" x14ac:dyDescent="0.35">
      <c r="A2179" t="s">
        <v>1697</v>
      </c>
      <c r="B2179" s="8" t="s">
        <v>1698</v>
      </c>
      <c r="C2179" t="s">
        <v>6644</v>
      </c>
      <c r="D2179" s="8" t="s">
        <v>6645</v>
      </c>
    </row>
    <row r="2180" spans="1:4" x14ac:dyDescent="0.35">
      <c r="A2180" t="s">
        <v>1697</v>
      </c>
      <c r="B2180" s="8" t="s">
        <v>1698</v>
      </c>
      <c r="C2180" t="s">
        <v>6833</v>
      </c>
      <c r="D2180" s="8" t="s">
        <v>6834</v>
      </c>
    </row>
    <row r="2181" spans="1:4" x14ac:dyDescent="0.35">
      <c r="A2181" t="s">
        <v>1697</v>
      </c>
      <c r="B2181" s="8" t="s">
        <v>1698</v>
      </c>
      <c r="C2181" t="s">
        <v>6588</v>
      </c>
      <c r="D2181" s="8" t="s">
        <v>6589</v>
      </c>
    </row>
    <row r="2182" spans="1:4" x14ac:dyDescent="0.35">
      <c r="A2182" t="s">
        <v>1699</v>
      </c>
      <c r="B2182" s="8" t="s">
        <v>1700</v>
      </c>
      <c r="C2182" t="s">
        <v>6644</v>
      </c>
      <c r="D2182" s="8" t="s">
        <v>6645</v>
      </c>
    </row>
    <row r="2183" spans="1:4" x14ac:dyDescent="0.35">
      <c r="A2183" t="s">
        <v>1699</v>
      </c>
      <c r="B2183" s="8" t="s">
        <v>1700</v>
      </c>
      <c r="C2183" t="s">
        <v>6833</v>
      </c>
      <c r="D2183" s="8" t="s">
        <v>6834</v>
      </c>
    </row>
    <row r="2184" spans="1:4" x14ac:dyDescent="0.35">
      <c r="A2184" t="s">
        <v>1699</v>
      </c>
      <c r="B2184" s="8" t="s">
        <v>1700</v>
      </c>
      <c r="C2184" t="s">
        <v>6588</v>
      </c>
      <c r="D2184" s="8" t="s">
        <v>6589</v>
      </c>
    </row>
    <row r="2185" spans="1:4" x14ac:dyDescent="0.35">
      <c r="A2185" t="s">
        <v>1701</v>
      </c>
      <c r="B2185" s="8" t="s">
        <v>1702</v>
      </c>
      <c r="C2185" t="s">
        <v>6841</v>
      </c>
      <c r="D2185" s="8" t="s">
        <v>6842</v>
      </c>
    </row>
    <row r="2186" spans="1:4" x14ac:dyDescent="0.35">
      <c r="A2186" t="s">
        <v>1701</v>
      </c>
      <c r="B2186" s="8" t="s">
        <v>1702</v>
      </c>
      <c r="C2186" t="s">
        <v>6588</v>
      </c>
      <c r="D2186" s="8" t="s">
        <v>6589</v>
      </c>
    </row>
    <row r="2187" spans="1:4" x14ac:dyDescent="0.35">
      <c r="A2187" t="s">
        <v>1701</v>
      </c>
      <c r="B2187" s="8" t="s">
        <v>1702</v>
      </c>
      <c r="C2187" t="s">
        <v>6850</v>
      </c>
      <c r="D2187" s="8" t="s">
        <v>6851</v>
      </c>
    </row>
    <row r="2188" spans="1:4" x14ac:dyDescent="0.35">
      <c r="A2188" t="s">
        <v>1703</v>
      </c>
      <c r="B2188" s="8" t="s">
        <v>1704</v>
      </c>
      <c r="C2188" t="s">
        <v>6644</v>
      </c>
      <c r="D2188" s="8" t="s">
        <v>6645</v>
      </c>
    </row>
    <row r="2189" spans="1:4" x14ac:dyDescent="0.35">
      <c r="A2189" t="s">
        <v>1703</v>
      </c>
      <c r="B2189" s="8" t="s">
        <v>1704</v>
      </c>
      <c r="C2189" t="s">
        <v>6833</v>
      </c>
      <c r="D2189" s="8" t="s">
        <v>6834</v>
      </c>
    </row>
    <row r="2190" spans="1:4" x14ac:dyDescent="0.35">
      <c r="A2190" t="s">
        <v>1703</v>
      </c>
      <c r="B2190" s="8" t="s">
        <v>1704</v>
      </c>
      <c r="C2190" t="s">
        <v>6588</v>
      </c>
      <c r="D2190" s="8" t="s">
        <v>6589</v>
      </c>
    </row>
    <row r="2191" spans="1:4" x14ac:dyDescent="0.35">
      <c r="A2191" t="s">
        <v>1703</v>
      </c>
      <c r="B2191" s="8" t="s">
        <v>1704</v>
      </c>
      <c r="C2191" t="s">
        <v>6850</v>
      </c>
      <c r="D2191" s="8" t="s">
        <v>6851</v>
      </c>
    </row>
    <row r="2192" spans="1:4" x14ac:dyDescent="0.35">
      <c r="A2192" t="s">
        <v>1705</v>
      </c>
      <c r="B2192" s="8" t="s">
        <v>1706</v>
      </c>
      <c r="C2192" t="s">
        <v>6644</v>
      </c>
      <c r="D2192" s="8" t="s">
        <v>6645</v>
      </c>
    </row>
    <row r="2193" spans="1:4" x14ac:dyDescent="0.35">
      <c r="A2193" t="s">
        <v>1705</v>
      </c>
      <c r="B2193" s="8" t="s">
        <v>1706</v>
      </c>
      <c r="C2193" t="s">
        <v>6833</v>
      </c>
      <c r="D2193" s="8" t="s">
        <v>6834</v>
      </c>
    </row>
    <row r="2194" spans="1:4" x14ac:dyDescent="0.35">
      <c r="A2194" t="s">
        <v>1705</v>
      </c>
      <c r="B2194" s="8" t="s">
        <v>1706</v>
      </c>
      <c r="C2194" t="s">
        <v>6588</v>
      </c>
      <c r="D2194" s="8" t="s">
        <v>6589</v>
      </c>
    </row>
    <row r="2195" spans="1:4" x14ac:dyDescent="0.35">
      <c r="A2195" t="s">
        <v>1705</v>
      </c>
      <c r="B2195" s="8" t="s">
        <v>1706</v>
      </c>
      <c r="C2195" t="s">
        <v>6850</v>
      </c>
      <c r="D2195" s="8" t="s">
        <v>6851</v>
      </c>
    </row>
    <row r="2196" spans="1:4" x14ac:dyDescent="0.35">
      <c r="A2196" t="s">
        <v>1707</v>
      </c>
      <c r="B2196" s="8" t="s">
        <v>1708</v>
      </c>
      <c r="C2196" t="s">
        <v>6841</v>
      </c>
      <c r="D2196" s="8" t="s">
        <v>6842</v>
      </c>
    </row>
    <row r="2197" spans="1:4" x14ac:dyDescent="0.35">
      <c r="A2197" t="s">
        <v>1707</v>
      </c>
      <c r="B2197" s="8" t="s">
        <v>1708</v>
      </c>
      <c r="C2197" t="s">
        <v>6588</v>
      </c>
      <c r="D2197" s="8" t="s">
        <v>6589</v>
      </c>
    </row>
    <row r="2198" spans="1:4" x14ac:dyDescent="0.35">
      <c r="A2198" t="s">
        <v>1709</v>
      </c>
      <c r="B2198" s="8" t="s">
        <v>1710</v>
      </c>
      <c r="C2198" t="s">
        <v>6841</v>
      </c>
      <c r="D2198" s="8" t="s">
        <v>6842</v>
      </c>
    </row>
    <row r="2199" spans="1:4" x14ac:dyDescent="0.35">
      <c r="A2199" t="s">
        <v>1709</v>
      </c>
      <c r="B2199" s="8" t="s">
        <v>1710</v>
      </c>
      <c r="C2199" t="s">
        <v>6588</v>
      </c>
      <c r="D2199" s="8" t="s">
        <v>6589</v>
      </c>
    </row>
    <row r="2200" spans="1:4" x14ac:dyDescent="0.35">
      <c r="A2200" t="s">
        <v>1711</v>
      </c>
      <c r="B2200" s="8" t="s">
        <v>1712</v>
      </c>
      <c r="C2200" t="s">
        <v>6841</v>
      </c>
      <c r="D2200" s="8" t="s">
        <v>6842</v>
      </c>
    </row>
    <row r="2201" spans="1:4" x14ac:dyDescent="0.35">
      <c r="A2201" t="s">
        <v>1711</v>
      </c>
      <c r="B2201" s="8" t="s">
        <v>1712</v>
      </c>
      <c r="C2201" t="s">
        <v>6588</v>
      </c>
      <c r="D2201" s="8" t="s">
        <v>6589</v>
      </c>
    </row>
    <row r="2202" spans="1:4" x14ac:dyDescent="0.35">
      <c r="A2202" t="s">
        <v>1713</v>
      </c>
      <c r="B2202" s="8" t="s">
        <v>1714</v>
      </c>
      <c r="C2202" t="s">
        <v>6841</v>
      </c>
      <c r="D2202" s="8" t="s">
        <v>6842</v>
      </c>
    </row>
    <row r="2203" spans="1:4" x14ac:dyDescent="0.35">
      <c r="A2203" t="s">
        <v>1713</v>
      </c>
      <c r="B2203" s="8" t="s">
        <v>1714</v>
      </c>
      <c r="C2203" t="s">
        <v>6588</v>
      </c>
      <c r="D2203" s="8" t="s">
        <v>6589</v>
      </c>
    </row>
    <row r="2204" spans="1:4" x14ac:dyDescent="0.35">
      <c r="A2204" t="s">
        <v>1715</v>
      </c>
      <c r="B2204" s="8" t="s">
        <v>1716</v>
      </c>
      <c r="C2204" t="s">
        <v>6841</v>
      </c>
      <c r="D2204" s="8" t="s">
        <v>6842</v>
      </c>
    </row>
    <row r="2205" spans="1:4" x14ac:dyDescent="0.35">
      <c r="A2205" t="s">
        <v>1715</v>
      </c>
      <c r="B2205" s="8" t="s">
        <v>1716</v>
      </c>
      <c r="C2205" t="s">
        <v>6588</v>
      </c>
      <c r="D2205" s="8" t="s">
        <v>6589</v>
      </c>
    </row>
    <row r="2206" spans="1:4" x14ac:dyDescent="0.35">
      <c r="A2206" t="s">
        <v>1717</v>
      </c>
      <c r="B2206" s="8" t="s">
        <v>1718</v>
      </c>
      <c r="C2206" t="s">
        <v>6841</v>
      </c>
      <c r="D2206" s="8" t="s">
        <v>6842</v>
      </c>
    </row>
    <row r="2207" spans="1:4" x14ac:dyDescent="0.35">
      <c r="A2207" t="s">
        <v>1717</v>
      </c>
      <c r="B2207" s="8" t="s">
        <v>1718</v>
      </c>
      <c r="C2207" t="s">
        <v>6588</v>
      </c>
      <c r="D2207" s="8" t="s">
        <v>6589</v>
      </c>
    </row>
    <row r="2208" spans="1:4" x14ac:dyDescent="0.35">
      <c r="A2208" t="s">
        <v>1719</v>
      </c>
      <c r="B2208" s="8" t="s">
        <v>1721</v>
      </c>
      <c r="C2208" t="s">
        <v>6841</v>
      </c>
      <c r="D2208" s="8" t="s">
        <v>6842</v>
      </c>
    </row>
    <row r="2209" spans="1:4" x14ac:dyDescent="0.35">
      <c r="A2209" t="s">
        <v>1719</v>
      </c>
      <c r="B2209" s="8" t="s">
        <v>1721</v>
      </c>
      <c r="C2209" t="s">
        <v>6588</v>
      </c>
      <c r="D2209" s="8" t="s">
        <v>6589</v>
      </c>
    </row>
    <row r="2210" spans="1:4" x14ac:dyDescent="0.35">
      <c r="A2210" t="s">
        <v>1719</v>
      </c>
      <c r="B2210" s="8" t="s">
        <v>1721</v>
      </c>
      <c r="C2210" t="s">
        <v>6852</v>
      </c>
      <c r="D2210" s="8" t="s">
        <v>6853</v>
      </c>
    </row>
    <row r="2211" spans="1:4" x14ac:dyDescent="0.35">
      <c r="A2211" t="s">
        <v>1722</v>
      </c>
      <c r="B2211" s="8" t="s">
        <v>1723</v>
      </c>
      <c r="C2211" t="s">
        <v>6841</v>
      </c>
      <c r="D2211" s="8" t="s">
        <v>6842</v>
      </c>
    </row>
    <row r="2212" spans="1:4" x14ac:dyDescent="0.35">
      <c r="A2212" t="s">
        <v>1722</v>
      </c>
      <c r="B2212" s="8" t="s">
        <v>1723</v>
      </c>
      <c r="C2212" t="s">
        <v>6588</v>
      </c>
      <c r="D2212" s="8" t="s">
        <v>6589</v>
      </c>
    </row>
    <row r="2213" spans="1:4" x14ac:dyDescent="0.35">
      <c r="A2213" t="s">
        <v>1724</v>
      </c>
      <c r="B2213" s="8" t="s">
        <v>1725</v>
      </c>
      <c r="C2213" t="s">
        <v>6644</v>
      </c>
      <c r="D2213" s="8" t="s">
        <v>6645</v>
      </c>
    </row>
    <row r="2214" spans="1:4" x14ac:dyDescent="0.35">
      <c r="A2214" t="s">
        <v>1724</v>
      </c>
      <c r="B2214" s="8" t="s">
        <v>1725</v>
      </c>
      <c r="C2214" t="s">
        <v>6833</v>
      </c>
      <c r="D2214" s="8" t="s">
        <v>6834</v>
      </c>
    </row>
    <row r="2215" spans="1:4" x14ac:dyDescent="0.35">
      <c r="A2215" t="s">
        <v>1724</v>
      </c>
      <c r="B2215" s="8" t="s">
        <v>1725</v>
      </c>
      <c r="C2215" t="s">
        <v>6841</v>
      </c>
      <c r="D2215" s="8" t="s">
        <v>6842</v>
      </c>
    </row>
    <row r="2216" spans="1:4" x14ac:dyDescent="0.35">
      <c r="A2216" t="s">
        <v>1724</v>
      </c>
      <c r="B2216" s="8" t="s">
        <v>1725</v>
      </c>
      <c r="C2216" t="s">
        <v>6588</v>
      </c>
      <c r="D2216" s="8" t="s">
        <v>6589</v>
      </c>
    </row>
    <row r="2217" spans="1:4" x14ac:dyDescent="0.35">
      <c r="A2217" t="s">
        <v>1726</v>
      </c>
      <c r="B2217" s="8" t="s">
        <v>1727</v>
      </c>
      <c r="C2217" t="s">
        <v>6841</v>
      </c>
      <c r="D2217" s="8" t="s">
        <v>6842</v>
      </c>
    </row>
    <row r="2218" spans="1:4" x14ac:dyDescent="0.35">
      <c r="A2218" t="s">
        <v>1726</v>
      </c>
      <c r="B2218" s="8" t="s">
        <v>1727</v>
      </c>
      <c r="C2218" t="s">
        <v>6588</v>
      </c>
      <c r="D2218" s="8" t="s">
        <v>6589</v>
      </c>
    </row>
    <row r="2219" spans="1:4" x14ac:dyDescent="0.35">
      <c r="A2219" t="s">
        <v>1728</v>
      </c>
      <c r="B2219" s="8" t="s">
        <v>1729</v>
      </c>
      <c r="C2219" t="s">
        <v>6644</v>
      </c>
      <c r="D2219" s="8" t="s">
        <v>6645</v>
      </c>
    </row>
    <row r="2220" spans="1:4" x14ac:dyDescent="0.35">
      <c r="A2220" t="s">
        <v>1728</v>
      </c>
      <c r="B2220" s="8" t="s">
        <v>1729</v>
      </c>
      <c r="C2220" t="s">
        <v>6841</v>
      </c>
      <c r="D2220" s="8" t="s">
        <v>6842</v>
      </c>
    </row>
    <row r="2221" spans="1:4" x14ac:dyDescent="0.35">
      <c r="A2221" t="s">
        <v>1728</v>
      </c>
      <c r="B2221" s="8" t="s">
        <v>1729</v>
      </c>
      <c r="C2221" t="s">
        <v>6588</v>
      </c>
      <c r="D2221" s="8" t="s">
        <v>6589</v>
      </c>
    </row>
    <row r="2222" spans="1:4" x14ac:dyDescent="0.35">
      <c r="A2222" t="s">
        <v>6854</v>
      </c>
      <c r="B2222" s="8" t="s">
        <v>1730</v>
      </c>
      <c r="C2222" t="s">
        <v>6843</v>
      </c>
      <c r="D2222" s="8" t="s">
        <v>6844</v>
      </c>
    </row>
    <row r="2223" spans="1:4" x14ac:dyDescent="0.35">
      <c r="A2223" t="s">
        <v>6854</v>
      </c>
      <c r="B2223" s="8" t="s">
        <v>1730</v>
      </c>
      <c r="C2223" t="s">
        <v>6841</v>
      </c>
      <c r="D2223" s="8" t="s">
        <v>6842</v>
      </c>
    </row>
    <row r="2224" spans="1:4" x14ac:dyDescent="0.35">
      <c r="A2224" t="s">
        <v>6854</v>
      </c>
      <c r="B2224" s="8" t="s">
        <v>1730</v>
      </c>
      <c r="C2224" t="s">
        <v>6588</v>
      </c>
      <c r="D2224" s="8" t="s">
        <v>6589</v>
      </c>
    </row>
    <row r="2225" spans="1:4" x14ac:dyDescent="0.35">
      <c r="A2225" t="s">
        <v>6854</v>
      </c>
      <c r="B2225" s="8" t="s">
        <v>1730</v>
      </c>
      <c r="C2225" t="s">
        <v>6194</v>
      </c>
      <c r="D2225" s="8" t="s">
        <v>6195</v>
      </c>
    </row>
    <row r="2226" spans="1:4" x14ac:dyDescent="0.35">
      <c r="A2226" t="s">
        <v>1731</v>
      </c>
      <c r="B2226" s="8" t="s">
        <v>1732</v>
      </c>
      <c r="C2226" t="s">
        <v>6841</v>
      </c>
      <c r="D2226" s="8" t="s">
        <v>6842</v>
      </c>
    </row>
    <row r="2227" spans="1:4" x14ac:dyDescent="0.35">
      <c r="A2227" t="s">
        <v>1731</v>
      </c>
      <c r="B2227" s="8" t="s">
        <v>1732</v>
      </c>
      <c r="C2227" t="s">
        <v>6194</v>
      </c>
      <c r="D2227" s="8" t="s">
        <v>6195</v>
      </c>
    </row>
    <row r="2228" spans="1:4" x14ac:dyDescent="0.35">
      <c r="A2228" t="s">
        <v>1733</v>
      </c>
      <c r="B2228" s="8" t="s">
        <v>1734</v>
      </c>
      <c r="C2228" t="s">
        <v>6644</v>
      </c>
      <c r="D2228" s="8" t="s">
        <v>6645</v>
      </c>
    </row>
    <row r="2229" spans="1:4" x14ac:dyDescent="0.35">
      <c r="A2229" t="s">
        <v>1733</v>
      </c>
      <c r="B2229" s="8" t="s">
        <v>1734</v>
      </c>
      <c r="C2229" t="s">
        <v>6833</v>
      </c>
      <c r="D2229" s="8" t="s">
        <v>6834</v>
      </c>
    </row>
    <row r="2230" spans="1:4" x14ac:dyDescent="0.35">
      <c r="A2230" t="s">
        <v>1733</v>
      </c>
      <c r="B2230" s="8" t="s">
        <v>1734</v>
      </c>
      <c r="C2230" t="s">
        <v>6841</v>
      </c>
      <c r="D2230" s="8" t="s">
        <v>6842</v>
      </c>
    </row>
    <row r="2231" spans="1:4" x14ac:dyDescent="0.35">
      <c r="A2231" t="s">
        <v>1733</v>
      </c>
      <c r="B2231" s="8" t="s">
        <v>1734</v>
      </c>
      <c r="C2231" t="s">
        <v>6588</v>
      </c>
      <c r="D2231" s="8" t="s">
        <v>6589</v>
      </c>
    </row>
    <row r="2232" spans="1:4" x14ac:dyDescent="0.35">
      <c r="A2232" t="s">
        <v>1733</v>
      </c>
      <c r="B2232" s="8" t="s">
        <v>1734</v>
      </c>
      <c r="C2232" t="s">
        <v>6194</v>
      </c>
      <c r="D2232" s="8" t="s">
        <v>6195</v>
      </c>
    </row>
    <row r="2233" spans="1:4" x14ac:dyDescent="0.35">
      <c r="A2233" t="s">
        <v>1735</v>
      </c>
      <c r="B2233" s="8" t="s">
        <v>1736</v>
      </c>
      <c r="C2233" t="s">
        <v>6841</v>
      </c>
      <c r="D2233" s="8" t="s">
        <v>6842</v>
      </c>
    </row>
    <row r="2234" spans="1:4" x14ac:dyDescent="0.35">
      <c r="A2234" t="s">
        <v>1735</v>
      </c>
      <c r="B2234" s="8" t="s">
        <v>1736</v>
      </c>
      <c r="C2234" t="s">
        <v>6194</v>
      </c>
      <c r="D2234" s="8" t="s">
        <v>6195</v>
      </c>
    </row>
    <row r="2235" spans="1:4" x14ac:dyDescent="0.35">
      <c r="A2235" t="s">
        <v>1737</v>
      </c>
      <c r="B2235" s="8" t="s">
        <v>1738</v>
      </c>
      <c r="C2235" t="s">
        <v>6841</v>
      </c>
      <c r="D2235" s="8" t="s">
        <v>6842</v>
      </c>
    </row>
    <row r="2236" spans="1:4" x14ac:dyDescent="0.35">
      <c r="A2236" t="s">
        <v>1737</v>
      </c>
      <c r="B2236" s="8" t="s">
        <v>1738</v>
      </c>
      <c r="C2236" t="s">
        <v>6194</v>
      </c>
      <c r="D2236" s="8" t="s">
        <v>6195</v>
      </c>
    </row>
    <row r="2237" spans="1:4" x14ac:dyDescent="0.35">
      <c r="A2237" t="s">
        <v>1739</v>
      </c>
      <c r="B2237" s="8" t="s">
        <v>1740</v>
      </c>
      <c r="C2237" t="s">
        <v>6644</v>
      </c>
      <c r="D2237" s="8" t="s">
        <v>6645</v>
      </c>
    </row>
    <row r="2238" spans="1:4" x14ac:dyDescent="0.35">
      <c r="A2238" t="s">
        <v>1739</v>
      </c>
      <c r="B2238" s="8" t="s">
        <v>1740</v>
      </c>
      <c r="C2238" t="s">
        <v>6833</v>
      </c>
      <c r="D2238" s="8" t="s">
        <v>6834</v>
      </c>
    </row>
    <row r="2239" spans="1:4" x14ac:dyDescent="0.35">
      <c r="A2239" t="s">
        <v>1739</v>
      </c>
      <c r="B2239" s="8" t="s">
        <v>1740</v>
      </c>
      <c r="C2239" t="s">
        <v>6841</v>
      </c>
      <c r="D2239" s="8" t="s">
        <v>6842</v>
      </c>
    </row>
    <row r="2240" spans="1:4" x14ac:dyDescent="0.35">
      <c r="A2240" t="s">
        <v>1739</v>
      </c>
      <c r="B2240" s="8" t="s">
        <v>1740</v>
      </c>
      <c r="C2240" t="s">
        <v>6237</v>
      </c>
      <c r="D2240" s="8" t="s">
        <v>6238</v>
      </c>
    </row>
    <row r="2241" spans="1:4" x14ac:dyDescent="0.35">
      <c r="A2241" t="s">
        <v>1739</v>
      </c>
      <c r="B2241" s="8" t="s">
        <v>1740</v>
      </c>
      <c r="C2241" t="s">
        <v>6588</v>
      </c>
      <c r="D2241" s="8" t="s">
        <v>6589</v>
      </c>
    </row>
    <row r="2242" spans="1:4" x14ac:dyDescent="0.35">
      <c r="A2242" t="s">
        <v>1739</v>
      </c>
      <c r="B2242" s="8" t="s">
        <v>1740</v>
      </c>
      <c r="C2242" t="s">
        <v>6194</v>
      </c>
      <c r="D2242" s="8" t="s">
        <v>6195</v>
      </c>
    </row>
    <row r="2243" spans="1:4" x14ac:dyDescent="0.35">
      <c r="A2243" t="s">
        <v>1741</v>
      </c>
      <c r="B2243" s="8" t="s">
        <v>1742</v>
      </c>
      <c r="C2243" t="s">
        <v>6841</v>
      </c>
      <c r="D2243" s="8" t="s">
        <v>6842</v>
      </c>
    </row>
    <row r="2244" spans="1:4" x14ac:dyDescent="0.35">
      <c r="A2244" t="s">
        <v>1741</v>
      </c>
      <c r="B2244" s="8" t="s">
        <v>1742</v>
      </c>
      <c r="C2244" t="s">
        <v>6237</v>
      </c>
      <c r="D2244" s="8" t="s">
        <v>6238</v>
      </c>
    </row>
    <row r="2245" spans="1:4" x14ac:dyDescent="0.35">
      <c r="A2245" t="s">
        <v>1741</v>
      </c>
      <c r="B2245" s="8" t="s">
        <v>1742</v>
      </c>
      <c r="C2245" t="s">
        <v>6194</v>
      </c>
      <c r="D2245" s="8" t="s">
        <v>6195</v>
      </c>
    </row>
    <row r="2246" spans="1:4" x14ac:dyDescent="0.35">
      <c r="A2246" t="s">
        <v>1743</v>
      </c>
      <c r="B2246" s="8" t="s">
        <v>1744</v>
      </c>
      <c r="C2246" t="s">
        <v>6697</v>
      </c>
      <c r="D2246" s="8" t="s">
        <v>6698</v>
      </c>
    </row>
    <row r="2247" spans="1:4" x14ac:dyDescent="0.35">
      <c r="A2247" t="s">
        <v>1743</v>
      </c>
      <c r="B2247" s="8" t="s">
        <v>1744</v>
      </c>
      <c r="C2247" t="s">
        <v>6841</v>
      </c>
      <c r="D2247" s="8" t="s">
        <v>6842</v>
      </c>
    </row>
    <row r="2248" spans="1:4" x14ac:dyDescent="0.35">
      <c r="A2248" t="s">
        <v>1743</v>
      </c>
      <c r="B2248" s="8" t="s">
        <v>1744</v>
      </c>
      <c r="C2248" t="s">
        <v>6237</v>
      </c>
      <c r="D2248" s="8" t="s">
        <v>6238</v>
      </c>
    </row>
    <row r="2249" spans="1:4" x14ac:dyDescent="0.35">
      <c r="A2249" t="s">
        <v>1743</v>
      </c>
      <c r="B2249" s="8" t="s">
        <v>1744</v>
      </c>
      <c r="C2249" t="s">
        <v>6241</v>
      </c>
      <c r="D2249" s="8" t="s">
        <v>6242</v>
      </c>
    </row>
    <row r="2250" spans="1:4" x14ac:dyDescent="0.35">
      <c r="A2250" t="s">
        <v>1743</v>
      </c>
      <c r="B2250" s="8" t="s">
        <v>1744</v>
      </c>
      <c r="C2250" t="s">
        <v>6708</v>
      </c>
      <c r="D2250" s="8" t="s">
        <v>6709</v>
      </c>
    </row>
    <row r="2251" spans="1:4" x14ac:dyDescent="0.35">
      <c r="A2251" t="s">
        <v>1743</v>
      </c>
      <c r="B2251" s="8" t="s">
        <v>1744</v>
      </c>
      <c r="C2251" t="s">
        <v>6713</v>
      </c>
      <c r="D2251" s="8" t="s">
        <v>6714</v>
      </c>
    </row>
    <row r="2252" spans="1:4" x14ac:dyDescent="0.35">
      <c r="A2252" t="s">
        <v>1743</v>
      </c>
      <c r="B2252" s="8" t="s">
        <v>1744</v>
      </c>
      <c r="C2252" t="s">
        <v>6194</v>
      </c>
      <c r="D2252" s="8" t="s">
        <v>6195</v>
      </c>
    </row>
    <row r="2253" spans="1:4" x14ac:dyDescent="0.35">
      <c r="A2253" t="s">
        <v>1745</v>
      </c>
      <c r="B2253" s="8" t="s">
        <v>1746</v>
      </c>
      <c r="C2253" t="s">
        <v>6841</v>
      </c>
      <c r="D2253" s="8" t="s">
        <v>6842</v>
      </c>
    </row>
    <row r="2254" spans="1:4" x14ac:dyDescent="0.35">
      <c r="A2254" t="s">
        <v>1745</v>
      </c>
      <c r="B2254" s="8" t="s">
        <v>1746</v>
      </c>
      <c r="C2254" t="s">
        <v>6194</v>
      </c>
      <c r="D2254" s="8" t="s">
        <v>6195</v>
      </c>
    </row>
    <row r="2255" spans="1:4" x14ac:dyDescent="0.35">
      <c r="A2255" t="s">
        <v>1747</v>
      </c>
      <c r="B2255" s="8" t="s">
        <v>1748</v>
      </c>
      <c r="C2255" t="s">
        <v>6841</v>
      </c>
      <c r="D2255" s="8" t="s">
        <v>6842</v>
      </c>
    </row>
    <row r="2256" spans="1:4" x14ac:dyDescent="0.35">
      <c r="A2256" t="s">
        <v>1747</v>
      </c>
      <c r="B2256" s="8" t="s">
        <v>1748</v>
      </c>
      <c r="C2256" t="s">
        <v>6194</v>
      </c>
      <c r="D2256" s="8" t="s">
        <v>6195</v>
      </c>
    </row>
    <row r="2257" spans="1:4" x14ac:dyDescent="0.35">
      <c r="A2257" t="s">
        <v>1749</v>
      </c>
      <c r="B2257" s="8" t="s">
        <v>1750</v>
      </c>
      <c r="C2257" t="s">
        <v>6644</v>
      </c>
      <c r="D2257" s="8" t="s">
        <v>6645</v>
      </c>
    </row>
    <row r="2258" spans="1:4" x14ac:dyDescent="0.35">
      <c r="A2258" t="s">
        <v>1749</v>
      </c>
      <c r="B2258" s="8" t="s">
        <v>1750</v>
      </c>
      <c r="C2258" t="s">
        <v>6537</v>
      </c>
      <c r="D2258" s="8" t="s">
        <v>6538</v>
      </c>
    </row>
    <row r="2259" spans="1:4" x14ac:dyDescent="0.35">
      <c r="A2259" t="s">
        <v>1749</v>
      </c>
      <c r="B2259" s="8" t="s">
        <v>1750</v>
      </c>
      <c r="C2259" t="s">
        <v>6833</v>
      </c>
      <c r="D2259" s="8" t="s">
        <v>6834</v>
      </c>
    </row>
    <row r="2260" spans="1:4" x14ac:dyDescent="0.35">
      <c r="A2260" t="s">
        <v>1749</v>
      </c>
      <c r="B2260" s="8" t="s">
        <v>1750</v>
      </c>
      <c r="C2260" t="s">
        <v>6588</v>
      </c>
      <c r="D2260" s="8" t="s">
        <v>6589</v>
      </c>
    </row>
    <row r="2261" spans="1:4" x14ac:dyDescent="0.35">
      <c r="A2261" t="s">
        <v>1751</v>
      </c>
      <c r="B2261" s="8" t="s">
        <v>1752</v>
      </c>
      <c r="C2261" t="s">
        <v>6644</v>
      </c>
      <c r="D2261" s="8" t="s">
        <v>6645</v>
      </c>
    </row>
    <row r="2262" spans="1:4" x14ac:dyDescent="0.35">
      <c r="A2262" t="s">
        <v>1751</v>
      </c>
      <c r="B2262" s="8" t="s">
        <v>1752</v>
      </c>
      <c r="C2262" t="s">
        <v>6537</v>
      </c>
      <c r="D2262" s="8" t="s">
        <v>6538</v>
      </c>
    </row>
    <row r="2263" spans="1:4" x14ac:dyDescent="0.35">
      <c r="A2263" t="s">
        <v>1751</v>
      </c>
      <c r="B2263" s="8" t="s">
        <v>1752</v>
      </c>
      <c r="C2263" t="s">
        <v>6833</v>
      </c>
      <c r="D2263" s="8" t="s">
        <v>6834</v>
      </c>
    </row>
    <row r="2264" spans="1:4" x14ac:dyDescent="0.35">
      <c r="A2264" t="s">
        <v>1751</v>
      </c>
      <c r="B2264" s="8" t="s">
        <v>1752</v>
      </c>
      <c r="C2264" t="s">
        <v>6841</v>
      </c>
      <c r="D2264" s="8" t="s">
        <v>6842</v>
      </c>
    </row>
    <row r="2265" spans="1:4" x14ac:dyDescent="0.35">
      <c r="A2265" t="s">
        <v>1751</v>
      </c>
      <c r="B2265" s="8" t="s">
        <v>1752</v>
      </c>
      <c r="C2265" t="s">
        <v>6837</v>
      </c>
      <c r="D2265" s="8" t="s">
        <v>6838</v>
      </c>
    </row>
    <row r="2266" spans="1:4" x14ac:dyDescent="0.35">
      <c r="A2266" t="s">
        <v>1751</v>
      </c>
      <c r="B2266" s="8" t="s">
        <v>1752</v>
      </c>
      <c r="C2266" t="s">
        <v>6580</v>
      </c>
      <c r="D2266" s="8" t="s">
        <v>6581</v>
      </c>
    </row>
    <row r="2267" spans="1:4" x14ac:dyDescent="0.35">
      <c r="A2267" t="s">
        <v>1751</v>
      </c>
      <c r="B2267" s="8" t="s">
        <v>1752</v>
      </c>
      <c r="C2267" t="s">
        <v>6194</v>
      </c>
      <c r="D2267" s="8" t="s">
        <v>6195</v>
      </c>
    </row>
    <row r="2268" spans="1:4" x14ac:dyDescent="0.35">
      <c r="A2268" t="s">
        <v>1753</v>
      </c>
      <c r="B2268" s="8" t="s">
        <v>1754</v>
      </c>
      <c r="C2268" t="s">
        <v>6398</v>
      </c>
      <c r="D2268" s="8" t="s">
        <v>6399</v>
      </c>
    </row>
    <row r="2269" spans="1:4" x14ac:dyDescent="0.35">
      <c r="A2269" t="s">
        <v>1753</v>
      </c>
      <c r="B2269" s="8" t="s">
        <v>1754</v>
      </c>
      <c r="C2269" t="s">
        <v>6410</v>
      </c>
      <c r="D2269" s="8" t="s">
        <v>6411</v>
      </c>
    </row>
    <row r="2270" spans="1:4" x14ac:dyDescent="0.35">
      <c r="A2270" t="s">
        <v>1753</v>
      </c>
      <c r="B2270" s="8" t="s">
        <v>1754</v>
      </c>
      <c r="C2270" t="s">
        <v>6416</v>
      </c>
      <c r="D2270" s="8" t="s">
        <v>6417</v>
      </c>
    </row>
    <row r="2271" spans="1:4" x14ac:dyDescent="0.35">
      <c r="A2271" t="s">
        <v>1753</v>
      </c>
      <c r="B2271" s="8" t="s">
        <v>1754</v>
      </c>
      <c r="C2271" t="s">
        <v>6837</v>
      </c>
      <c r="D2271" s="8" t="s">
        <v>6838</v>
      </c>
    </row>
    <row r="2272" spans="1:4" x14ac:dyDescent="0.35">
      <c r="A2272" t="s">
        <v>1755</v>
      </c>
      <c r="B2272" s="8" t="s">
        <v>1756</v>
      </c>
      <c r="C2272" t="s">
        <v>6644</v>
      </c>
      <c r="D2272" s="8" t="s">
        <v>6645</v>
      </c>
    </row>
    <row r="2273" spans="1:4" x14ac:dyDescent="0.35">
      <c r="A2273" t="s">
        <v>1755</v>
      </c>
      <c r="B2273" s="8" t="s">
        <v>1756</v>
      </c>
      <c r="C2273" t="s">
        <v>6410</v>
      </c>
      <c r="D2273" s="8" t="s">
        <v>6411</v>
      </c>
    </row>
    <row r="2274" spans="1:4" x14ac:dyDescent="0.35">
      <c r="A2274" t="s">
        <v>1755</v>
      </c>
      <c r="B2274" s="8" t="s">
        <v>1756</v>
      </c>
      <c r="C2274" t="s">
        <v>6416</v>
      </c>
      <c r="D2274" s="8" t="s">
        <v>6417</v>
      </c>
    </row>
    <row r="2275" spans="1:4" x14ac:dyDescent="0.35">
      <c r="A2275" t="s">
        <v>1755</v>
      </c>
      <c r="B2275" s="8" t="s">
        <v>1756</v>
      </c>
      <c r="C2275" t="s">
        <v>6855</v>
      </c>
      <c r="D2275" s="8" t="s">
        <v>6856</v>
      </c>
    </row>
    <row r="2276" spans="1:4" x14ac:dyDescent="0.35">
      <c r="A2276" t="s">
        <v>1755</v>
      </c>
      <c r="B2276" s="8" t="s">
        <v>1756</v>
      </c>
      <c r="C2276" t="s">
        <v>6833</v>
      </c>
      <c r="D2276" s="8" t="s">
        <v>6834</v>
      </c>
    </row>
    <row r="2277" spans="1:4" x14ac:dyDescent="0.35">
      <c r="A2277" t="s">
        <v>1755</v>
      </c>
      <c r="B2277" s="8" t="s">
        <v>1756</v>
      </c>
      <c r="C2277" t="s">
        <v>6837</v>
      </c>
      <c r="D2277" s="8" t="s">
        <v>6838</v>
      </c>
    </row>
    <row r="2278" spans="1:4" x14ac:dyDescent="0.35">
      <c r="A2278" t="s">
        <v>1755</v>
      </c>
      <c r="B2278" s="8" t="s">
        <v>1756</v>
      </c>
      <c r="C2278" t="s">
        <v>6588</v>
      </c>
      <c r="D2278" s="8" t="s">
        <v>6589</v>
      </c>
    </row>
    <row r="2279" spans="1:4" x14ac:dyDescent="0.35">
      <c r="A2279" t="s">
        <v>1757</v>
      </c>
      <c r="B2279" s="8" t="s">
        <v>1758</v>
      </c>
      <c r="C2279" t="s">
        <v>6644</v>
      </c>
      <c r="D2279" s="8" t="s">
        <v>6645</v>
      </c>
    </row>
    <row r="2280" spans="1:4" x14ac:dyDescent="0.35">
      <c r="A2280" t="s">
        <v>1757</v>
      </c>
      <c r="B2280" s="8" t="s">
        <v>1758</v>
      </c>
      <c r="C2280" t="s">
        <v>6857</v>
      </c>
      <c r="D2280" s="8" t="s">
        <v>6858</v>
      </c>
    </row>
    <row r="2281" spans="1:4" x14ac:dyDescent="0.35">
      <c r="A2281" t="s">
        <v>1757</v>
      </c>
      <c r="B2281" s="8" t="s">
        <v>1758</v>
      </c>
      <c r="C2281" t="s">
        <v>6416</v>
      </c>
      <c r="D2281" s="8" t="s">
        <v>6417</v>
      </c>
    </row>
    <row r="2282" spans="1:4" x14ac:dyDescent="0.35">
      <c r="A2282" t="s">
        <v>1757</v>
      </c>
      <c r="B2282" s="8" t="s">
        <v>1758</v>
      </c>
      <c r="C2282" t="s">
        <v>6855</v>
      </c>
      <c r="D2282" s="8" t="s">
        <v>6856</v>
      </c>
    </row>
    <row r="2283" spans="1:4" x14ac:dyDescent="0.35">
      <c r="A2283" t="s">
        <v>1757</v>
      </c>
      <c r="B2283" s="8" t="s">
        <v>1758</v>
      </c>
      <c r="C2283" t="s">
        <v>6833</v>
      </c>
      <c r="D2283" s="8" t="s">
        <v>6834</v>
      </c>
    </row>
    <row r="2284" spans="1:4" x14ac:dyDescent="0.35">
      <c r="A2284" t="s">
        <v>1757</v>
      </c>
      <c r="B2284" s="8" t="s">
        <v>1758</v>
      </c>
      <c r="C2284" t="s">
        <v>6588</v>
      </c>
      <c r="D2284" s="8" t="s">
        <v>6589</v>
      </c>
    </row>
    <row r="2285" spans="1:4" x14ac:dyDescent="0.35">
      <c r="A2285" t="s">
        <v>1759</v>
      </c>
      <c r="B2285" s="8" t="s">
        <v>1760</v>
      </c>
      <c r="C2285" t="s">
        <v>6644</v>
      </c>
      <c r="D2285" s="8" t="s">
        <v>6645</v>
      </c>
    </row>
    <row r="2286" spans="1:4" x14ac:dyDescent="0.35">
      <c r="A2286" t="s">
        <v>1759</v>
      </c>
      <c r="B2286" s="8" t="s">
        <v>1760</v>
      </c>
      <c r="C2286" t="s">
        <v>6833</v>
      </c>
      <c r="D2286" s="8" t="s">
        <v>6834</v>
      </c>
    </row>
    <row r="2287" spans="1:4" x14ac:dyDescent="0.35">
      <c r="A2287" t="s">
        <v>1759</v>
      </c>
      <c r="B2287" s="8" t="s">
        <v>1760</v>
      </c>
      <c r="C2287" t="s">
        <v>6588</v>
      </c>
      <c r="D2287" s="8" t="s">
        <v>6589</v>
      </c>
    </row>
    <row r="2288" spans="1:4" x14ac:dyDescent="0.35">
      <c r="A2288" t="s">
        <v>1761</v>
      </c>
      <c r="B2288" s="8" t="s">
        <v>1762</v>
      </c>
      <c r="C2288" t="s">
        <v>6644</v>
      </c>
      <c r="D2288" s="8" t="s">
        <v>6645</v>
      </c>
    </row>
    <row r="2289" spans="1:4" x14ac:dyDescent="0.35">
      <c r="A2289" t="s">
        <v>1761</v>
      </c>
      <c r="B2289" s="8" t="s">
        <v>1762</v>
      </c>
      <c r="C2289" t="s">
        <v>6273</v>
      </c>
      <c r="D2289" s="8" t="s">
        <v>6274</v>
      </c>
    </row>
    <row r="2290" spans="1:4" x14ac:dyDescent="0.35">
      <c r="A2290" t="s">
        <v>1761</v>
      </c>
      <c r="B2290" s="8" t="s">
        <v>1762</v>
      </c>
      <c r="C2290" t="s">
        <v>6833</v>
      </c>
      <c r="D2290" s="8" t="s">
        <v>6834</v>
      </c>
    </row>
    <row r="2291" spans="1:4" x14ac:dyDescent="0.35">
      <c r="A2291" t="s">
        <v>1761</v>
      </c>
      <c r="B2291" s="8" t="s">
        <v>1762</v>
      </c>
      <c r="C2291" t="s">
        <v>6148</v>
      </c>
      <c r="D2291" s="8" t="s">
        <v>6149</v>
      </c>
    </row>
    <row r="2292" spans="1:4" x14ac:dyDescent="0.35">
      <c r="A2292" t="s">
        <v>1761</v>
      </c>
      <c r="B2292" s="8" t="s">
        <v>1762</v>
      </c>
      <c r="C2292" t="s">
        <v>6835</v>
      </c>
      <c r="D2292" s="8" t="s">
        <v>6836</v>
      </c>
    </row>
    <row r="2293" spans="1:4" x14ac:dyDescent="0.35">
      <c r="A2293" t="s">
        <v>1761</v>
      </c>
      <c r="B2293" s="8" t="s">
        <v>1762</v>
      </c>
      <c r="C2293" t="s">
        <v>6588</v>
      </c>
      <c r="D2293" s="8" t="s">
        <v>6589</v>
      </c>
    </row>
    <row r="2294" spans="1:4" x14ac:dyDescent="0.35">
      <c r="A2294" t="s">
        <v>1761</v>
      </c>
      <c r="B2294" s="8" t="s">
        <v>1762</v>
      </c>
      <c r="C2294" t="s">
        <v>6150</v>
      </c>
      <c r="D2294" s="8" t="s">
        <v>6151</v>
      </c>
    </row>
    <row r="2295" spans="1:4" x14ac:dyDescent="0.35">
      <c r="A2295" t="s">
        <v>1763</v>
      </c>
      <c r="B2295" s="8" t="s">
        <v>1764</v>
      </c>
      <c r="C2295" t="s">
        <v>6644</v>
      </c>
      <c r="D2295" s="8" t="s">
        <v>6645</v>
      </c>
    </row>
    <row r="2296" spans="1:4" x14ac:dyDescent="0.35">
      <c r="A2296" t="s">
        <v>1763</v>
      </c>
      <c r="B2296" s="8" t="s">
        <v>1764</v>
      </c>
      <c r="C2296" t="s">
        <v>6273</v>
      </c>
      <c r="D2296" s="8" t="s">
        <v>6274</v>
      </c>
    </row>
    <row r="2297" spans="1:4" x14ac:dyDescent="0.35">
      <c r="A2297" t="s">
        <v>1763</v>
      </c>
      <c r="B2297" s="8" t="s">
        <v>1764</v>
      </c>
      <c r="C2297" t="s">
        <v>6833</v>
      </c>
      <c r="D2297" s="8" t="s">
        <v>6834</v>
      </c>
    </row>
    <row r="2298" spans="1:4" x14ac:dyDescent="0.35">
      <c r="A2298" t="s">
        <v>1763</v>
      </c>
      <c r="B2298" s="8" t="s">
        <v>1764</v>
      </c>
      <c r="C2298" t="s">
        <v>6837</v>
      </c>
      <c r="D2298" s="8" t="s">
        <v>6838</v>
      </c>
    </row>
    <row r="2299" spans="1:4" x14ac:dyDescent="0.35">
      <c r="A2299" t="s">
        <v>1763</v>
      </c>
      <c r="B2299" s="8" t="s">
        <v>1764</v>
      </c>
      <c r="C2299" t="s">
        <v>6588</v>
      </c>
      <c r="D2299" s="8" t="s">
        <v>6589</v>
      </c>
    </row>
    <row r="2300" spans="1:4" x14ac:dyDescent="0.35">
      <c r="A2300" t="s">
        <v>1765</v>
      </c>
      <c r="B2300" s="8" t="s">
        <v>1766</v>
      </c>
      <c r="C2300" t="s">
        <v>6644</v>
      </c>
      <c r="D2300" s="8" t="s">
        <v>6645</v>
      </c>
    </row>
    <row r="2301" spans="1:4" x14ac:dyDescent="0.35">
      <c r="A2301" t="s">
        <v>1765</v>
      </c>
      <c r="B2301" s="8" t="s">
        <v>1766</v>
      </c>
      <c r="C2301" t="s">
        <v>6273</v>
      </c>
      <c r="D2301" s="8" t="s">
        <v>6274</v>
      </c>
    </row>
    <row r="2302" spans="1:4" x14ac:dyDescent="0.35">
      <c r="A2302" t="s">
        <v>1765</v>
      </c>
      <c r="B2302" s="8" t="s">
        <v>1766</v>
      </c>
      <c r="C2302" t="s">
        <v>6833</v>
      </c>
      <c r="D2302" s="8" t="s">
        <v>6834</v>
      </c>
    </row>
    <row r="2303" spans="1:4" x14ac:dyDescent="0.35">
      <c r="A2303" t="s">
        <v>1765</v>
      </c>
      <c r="B2303" s="8" t="s">
        <v>1766</v>
      </c>
      <c r="C2303" t="s">
        <v>6588</v>
      </c>
      <c r="D2303" s="8" t="s">
        <v>6589</v>
      </c>
    </row>
    <row r="2304" spans="1:4" x14ac:dyDescent="0.35">
      <c r="A2304" t="s">
        <v>1767</v>
      </c>
      <c r="B2304" s="8" t="s">
        <v>1768</v>
      </c>
      <c r="C2304" t="s">
        <v>6833</v>
      </c>
      <c r="D2304" s="8" t="s">
        <v>6834</v>
      </c>
    </row>
    <row r="2305" spans="1:4" x14ac:dyDescent="0.35">
      <c r="A2305" t="s">
        <v>1767</v>
      </c>
      <c r="B2305" s="8" t="s">
        <v>1768</v>
      </c>
      <c r="C2305" t="s">
        <v>6837</v>
      </c>
      <c r="D2305" s="8" t="s">
        <v>6838</v>
      </c>
    </row>
    <row r="2306" spans="1:4" x14ac:dyDescent="0.35">
      <c r="A2306" t="s">
        <v>1767</v>
      </c>
      <c r="B2306" s="8" t="s">
        <v>1768</v>
      </c>
      <c r="C2306" t="s">
        <v>6588</v>
      </c>
      <c r="D2306" s="8" t="s">
        <v>6589</v>
      </c>
    </row>
    <row r="2307" spans="1:4" x14ac:dyDescent="0.35">
      <c r="A2307" t="s">
        <v>1769</v>
      </c>
      <c r="B2307" s="8" t="s">
        <v>1770</v>
      </c>
      <c r="C2307" t="s">
        <v>6273</v>
      </c>
      <c r="D2307" s="8" t="s">
        <v>6274</v>
      </c>
    </row>
    <row r="2308" spans="1:4" x14ac:dyDescent="0.35">
      <c r="A2308" t="s">
        <v>1769</v>
      </c>
      <c r="B2308" s="8" t="s">
        <v>1770</v>
      </c>
      <c r="C2308" t="s">
        <v>6833</v>
      </c>
      <c r="D2308" s="8" t="s">
        <v>6834</v>
      </c>
    </row>
    <row r="2309" spans="1:4" x14ac:dyDescent="0.35">
      <c r="A2309" t="s">
        <v>1769</v>
      </c>
      <c r="B2309" s="8" t="s">
        <v>1770</v>
      </c>
      <c r="C2309" t="s">
        <v>6148</v>
      </c>
      <c r="D2309" s="8" t="s">
        <v>6149</v>
      </c>
    </row>
    <row r="2310" spans="1:4" x14ac:dyDescent="0.35">
      <c r="A2310" t="s">
        <v>1769</v>
      </c>
      <c r="B2310" s="8" t="s">
        <v>1770</v>
      </c>
      <c r="C2310" t="s">
        <v>6588</v>
      </c>
      <c r="D2310" s="8" t="s">
        <v>6589</v>
      </c>
    </row>
    <row r="2311" spans="1:4" x14ac:dyDescent="0.35">
      <c r="A2311" t="s">
        <v>1771</v>
      </c>
      <c r="B2311" s="8" t="s">
        <v>1772</v>
      </c>
      <c r="C2311" t="s">
        <v>6833</v>
      </c>
      <c r="D2311" s="8" t="s">
        <v>6834</v>
      </c>
    </row>
    <row r="2312" spans="1:4" x14ac:dyDescent="0.35">
      <c r="A2312" t="s">
        <v>1771</v>
      </c>
      <c r="B2312" s="8" t="s">
        <v>1772</v>
      </c>
      <c r="C2312" t="s">
        <v>6588</v>
      </c>
      <c r="D2312" s="8" t="s">
        <v>6589</v>
      </c>
    </row>
    <row r="2313" spans="1:4" x14ac:dyDescent="0.35">
      <c r="A2313" t="s">
        <v>1773</v>
      </c>
      <c r="B2313" s="8" t="s">
        <v>1774</v>
      </c>
      <c r="C2313" t="s">
        <v>6833</v>
      </c>
      <c r="D2313" s="8" t="s">
        <v>6834</v>
      </c>
    </row>
    <row r="2314" spans="1:4" x14ac:dyDescent="0.35">
      <c r="A2314" t="s">
        <v>1773</v>
      </c>
      <c r="B2314" s="8" t="s">
        <v>1774</v>
      </c>
      <c r="C2314" t="s">
        <v>6148</v>
      </c>
      <c r="D2314" s="8" t="s">
        <v>6149</v>
      </c>
    </row>
    <row r="2315" spans="1:4" x14ac:dyDescent="0.35">
      <c r="A2315" t="s">
        <v>1773</v>
      </c>
      <c r="B2315" s="8" t="s">
        <v>1774</v>
      </c>
      <c r="C2315" t="s">
        <v>6588</v>
      </c>
      <c r="D2315" s="8" t="s">
        <v>6589</v>
      </c>
    </row>
    <row r="2316" spans="1:4" x14ac:dyDescent="0.35">
      <c r="A2316" t="s">
        <v>1773</v>
      </c>
      <c r="B2316" s="8" t="s">
        <v>1774</v>
      </c>
      <c r="C2316" t="s">
        <v>6239</v>
      </c>
      <c r="D2316" s="8" t="s">
        <v>6240</v>
      </c>
    </row>
    <row r="2317" spans="1:4" x14ac:dyDescent="0.35">
      <c r="A2317" t="s">
        <v>1775</v>
      </c>
      <c r="B2317" s="8" t="s">
        <v>1776</v>
      </c>
      <c r="C2317" t="s">
        <v>6833</v>
      </c>
      <c r="D2317" s="8" t="s">
        <v>6834</v>
      </c>
    </row>
    <row r="2318" spans="1:4" x14ac:dyDescent="0.35">
      <c r="A2318" t="s">
        <v>1775</v>
      </c>
      <c r="B2318" s="8" t="s">
        <v>1776</v>
      </c>
      <c r="C2318" t="s">
        <v>6588</v>
      </c>
      <c r="D2318" s="8" t="s">
        <v>6589</v>
      </c>
    </row>
    <row r="2319" spans="1:4" x14ac:dyDescent="0.35">
      <c r="A2319" t="s">
        <v>1777</v>
      </c>
      <c r="B2319" s="8" t="s">
        <v>1778</v>
      </c>
      <c r="C2319" t="s">
        <v>6845</v>
      </c>
      <c r="D2319" s="8" t="s">
        <v>6846</v>
      </c>
    </row>
    <row r="2320" spans="1:4" x14ac:dyDescent="0.35">
      <c r="A2320" t="s">
        <v>1777</v>
      </c>
      <c r="B2320" s="8" t="s">
        <v>1778</v>
      </c>
      <c r="C2320" t="s">
        <v>6841</v>
      </c>
      <c r="D2320" s="8" t="s">
        <v>6842</v>
      </c>
    </row>
    <row r="2321" spans="1:4" x14ac:dyDescent="0.35">
      <c r="A2321" t="s">
        <v>1777</v>
      </c>
      <c r="B2321" s="8" t="s">
        <v>1778</v>
      </c>
      <c r="C2321" t="s">
        <v>6194</v>
      </c>
      <c r="D2321" s="8" t="s">
        <v>6195</v>
      </c>
    </row>
    <row r="2322" spans="1:4" x14ac:dyDescent="0.35">
      <c r="A2322" t="s">
        <v>1779</v>
      </c>
      <c r="B2322" s="8" t="s">
        <v>1780</v>
      </c>
      <c r="C2322" t="s">
        <v>6644</v>
      </c>
      <c r="D2322" s="8" t="s">
        <v>6645</v>
      </c>
    </row>
    <row r="2323" spans="1:4" x14ac:dyDescent="0.35">
      <c r="A2323" t="s">
        <v>1779</v>
      </c>
      <c r="B2323" s="8" t="s">
        <v>1780</v>
      </c>
      <c r="C2323" t="s">
        <v>6833</v>
      </c>
      <c r="D2323" s="8" t="s">
        <v>6834</v>
      </c>
    </row>
    <row r="2324" spans="1:4" x14ac:dyDescent="0.35">
      <c r="A2324" t="s">
        <v>1779</v>
      </c>
      <c r="B2324" s="8" t="s">
        <v>1780</v>
      </c>
      <c r="C2324" t="s">
        <v>6148</v>
      </c>
      <c r="D2324" s="8" t="s">
        <v>6149</v>
      </c>
    </row>
    <row r="2325" spans="1:4" x14ac:dyDescent="0.35">
      <c r="A2325" t="s">
        <v>1779</v>
      </c>
      <c r="B2325" s="8" t="s">
        <v>1780</v>
      </c>
      <c r="C2325" t="s">
        <v>6588</v>
      </c>
      <c r="D2325" s="8" t="s">
        <v>6589</v>
      </c>
    </row>
    <row r="2326" spans="1:4" x14ac:dyDescent="0.35">
      <c r="A2326" t="s">
        <v>1779</v>
      </c>
      <c r="B2326" s="8" t="s">
        <v>1780</v>
      </c>
      <c r="C2326" t="s">
        <v>6239</v>
      </c>
      <c r="D2326" s="8" t="s">
        <v>6240</v>
      </c>
    </row>
    <row r="2327" spans="1:4" x14ac:dyDescent="0.35">
      <c r="A2327" t="s">
        <v>6859</v>
      </c>
      <c r="B2327" s="8" t="s">
        <v>1781</v>
      </c>
      <c r="C2327" t="s">
        <v>6644</v>
      </c>
      <c r="D2327" s="8" t="s">
        <v>6645</v>
      </c>
    </row>
    <row r="2328" spans="1:4" x14ac:dyDescent="0.35">
      <c r="A2328" t="s">
        <v>6859</v>
      </c>
      <c r="B2328" s="8" t="s">
        <v>1781</v>
      </c>
      <c r="C2328" t="s">
        <v>6537</v>
      </c>
      <c r="D2328" s="8" t="s">
        <v>6538</v>
      </c>
    </row>
    <row r="2329" spans="1:4" x14ac:dyDescent="0.35">
      <c r="A2329" t="s">
        <v>6859</v>
      </c>
      <c r="B2329" s="8" t="s">
        <v>1781</v>
      </c>
      <c r="C2329" t="s">
        <v>6833</v>
      </c>
      <c r="D2329" s="8" t="s">
        <v>6834</v>
      </c>
    </row>
    <row r="2330" spans="1:4" x14ac:dyDescent="0.35">
      <c r="A2330" t="s">
        <v>6859</v>
      </c>
      <c r="B2330" s="8" t="s">
        <v>1781</v>
      </c>
      <c r="C2330" t="s">
        <v>6845</v>
      </c>
      <c r="D2330" s="8" t="s">
        <v>6846</v>
      </c>
    </row>
    <row r="2331" spans="1:4" x14ac:dyDescent="0.35">
      <c r="A2331" t="s">
        <v>6859</v>
      </c>
      <c r="B2331" s="8" t="s">
        <v>1781</v>
      </c>
      <c r="C2331" t="s">
        <v>6194</v>
      </c>
      <c r="D2331" s="8" t="s">
        <v>6195</v>
      </c>
    </row>
    <row r="2332" spans="1:4" x14ac:dyDescent="0.35">
      <c r="A2332" t="s">
        <v>1782</v>
      </c>
      <c r="B2332" s="8" t="s">
        <v>1783</v>
      </c>
      <c r="C2332" t="s">
        <v>6644</v>
      </c>
      <c r="D2332" s="8" t="s">
        <v>6645</v>
      </c>
    </row>
    <row r="2333" spans="1:4" x14ac:dyDescent="0.35">
      <c r="A2333" t="s">
        <v>1782</v>
      </c>
      <c r="B2333" s="8" t="s">
        <v>1783</v>
      </c>
      <c r="C2333" t="s">
        <v>6833</v>
      </c>
      <c r="D2333" s="8" t="s">
        <v>6834</v>
      </c>
    </row>
    <row r="2334" spans="1:4" x14ac:dyDescent="0.35">
      <c r="A2334" t="s">
        <v>1782</v>
      </c>
      <c r="B2334" s="8" t="s">
        <v>1783</v>
      </c>
      <c r="C2334" t="s">
        <v>6148</v>
      </c>
      <c r="D2334" s="8" t="s">
        <v>6149</v>
      </c>
    </row>
    <row r="2335" spans="1:4" x14ac:dyDescent="0.35">
      <c r="A2335" t="s">
        <v>1782</v>
      </c>
      <c r="B2335" s="8" t="s">
        <v>1783</v>
      </c>
      <c r="C2335" t="s">
        <v>6835</v>
      </c>
      <c r="D2335" s="8" t="s">
        <v>6836</v>
      </c>
    </row>
    <row r="2336" spans="1:4" x14ac:dyDescent="0.35">
      <c r="A2336" t="s">
        <v>1782</v>
      </c>
      <c r="B2336" s="8" t="s">
        <v>1783</v>
      </c>
      <c r="C2336" t="s">
        <v>6588</v>
      </c>
      <c r="D2336" s="8" t="s">
        <v>6589</v>
      </c>
    </row>
    <row r="2337" spans="1:4" x14ac:dyDescent="0.35">
      <c r="A2337" t="s">
        <v>1782</v>
      </c>
      <c r="B2337" s="8" t="s">
        <v>1783</v>
      </c>
      <c r="C2337" t="s">
        <v>6239</v>
      </c>
      <c r="D2337" s="8" t="s">
        <v>6240</v>
      </c>
    </row>
    <row r="2338" spans="1:4" x14ac:dyDescent="0.35">
      <c r="A2338" t="s">
        <v>1784</v>
      </c>
      <c r="B2338" s="8" t="s">
        <v>1785</v>
      </c>
      <c r="C2338" t="s">
        <v>6644</v>
      </c>
      <c r="D2338" s="8" t="s">
        <v>6645</v>
      </c>
    </row>
    <row r="2339" spans="1:4" x14ac:dyDescent="0.35">
      <c r="A2339" t="s">
        <v>1784</v>
      </c>
      <c r="B2339" s="8" t="s">
        <v>1785</v>
      </c>
      <c r="C2339" t="s">
        <v>6841</v>
      </c>
      <c r="D2339" s="8" t="s">
        <v>6842</v>
      </c>
    </row>
    <row r="2340" spans="1:4" x14ac:dyDescent="0.35">
      <c r="A2340" t="s">
        <v>1784</v>
      </c>
      <c r="B2340" s="8" t="s">
        <v>1785</v>
      </c>
      <c r="C2340" t="s">
        <v>6588</v>
      </c>
      <c r="D2340" s="8" t="s">
        <v>6589</v>
      </c>
    </row>
    <row r="2341" spans="1:4" x14ac:dyDescent="0.35">
      <c r="A2341" t="s">
        <v>1786</v>
      </c>
      <c r="B2341" s="8" t="s">
        <v>1787</v>
      </c>
      <c r="C2341" t="s">
        <v>6644</v>
      </c>
      <c r="D2341" s="8" t="s">
        <v>6645</v>
      </c>
    </row>
    <row r="2342" spans="1:4" x14ac:dyDescent="0.35">
      <c r="A2342" t="s">
        <v>1786</v>
      </c>
      <c r="B2342" s="8" t="s">
        <v>1787</v>
      </c>
      <c r="C2342" t="s">
        <v>6833</v>
      </c>
      <c r="D2342" s="8" t="s">
        <v>6834</v>
      </c>
    </row>
    <row r="2343" spans="1:4" x14ac:dyDescent="0.35">
      <c r="A2343" t="s">
        <v>1786</v>
      </c>
      <c r="B2343" s="8" t="s">
        <v>1787</v>
      </c>
      <c r="C2343" t="s">
        <v>6837</v>
      </c>
      <c r="D2343" s="8" t="s">
        <v>6838</v>
      </c>
    </row>
    <row r="2344" spans="1:4" x14ac:dyDescent="0.35">
      <c r="A2344" t="s">
        <v>1786</v>
      </c>
      <c r="B2344" s="8" t="s">
        <v>1787</v>
      </c>
      <c r="C2344" t="s">
        <v>6588</v>
      </c>
      <c r="D2344" s="8" t="s">
        <v>6589</v>
      </c>
    </row>
    <row r="2345" spans="1:4" x14ac:dyDescent="0.35">
      <c r="A2345" t="s">
        <v>1788</v>
      </c>
      <c r="B2345" s="8" t="s">
        <v>1789</v>
      </c>
      <c r="C2345" t="s">
        <v>6644</v>
      </c>
      <c r="D2345" s="8" t="s">
        <v>6645</v>
      </c>
    </row>
    <row r="2346" spans="1:4" x14ac:dyDescent="0.35">
      <c r="A2346" t="s">
        <v>1788</v>
      </c>
      <c r="B2346" s="8" t="s">
        <v>1789</v>
      </c>
      <c r="C2346" t="s">
        <v>6833</v>
      </c>
      <c r="D2346" s="8" t="s">
        <v>6834</v>
      </c>
    </row>
    <row r="2347" spans="1:4" x14ac:dyDescent="0.35">
      <c r="A2347" t="s">
        <v>1788</v>
      </c>
      <c r="B2347" s="8" t="s">
        <v>1789</v>
      </c>
      <c r="C2347" t="s">
        <v>6841</v>
      </c>
      <c r="D2347" s="8" t="s">
        <v>6842</v>
      </c>
    </row>
    <row r="2348" spans="1:4" x14ac:dyDescent="0.35">
      <c r="A2348" t="s">
        <v>1788</v>
      </c>
      <c r="B2348" s="8" t="s">
        <v>1789</v>
      </c>
      <c r="C2348" t="s">
        <v>6588</v>
      </c>
      <c r="D2348" s="8" t="s">
        <v>6589</v>
      </c>
    </row>
    <row r="2349" spans="1:4" x14ac:dyDescent="0.35">
      <c r="A2349" t="s">
        <v>1790</v>
      </c>
      <c r="B2349" s="8" t="s">
        <v>1791</v>
      </c>
      <c r="C2349" t="s">
        <v>6644</v>
      </c>
      <c r="D2349" s="8" t="s">
        <v>6645</v>
      </c>
    </row>
    <row r="2350" spans="1:4" x14ac:dyDescent="0.35">
      <c r="A2350" t="s">
        <v>1790</v>
      </c>
      <c r="B2350" s="8" t="s">
        <v>1791</v>
      </c>
      <c r="C2350" t="s">
        <v>6833</v>
      </c>
      <c r="D2350" s="8" t="s">
        <v>6834</v>
      </c>
    </row>
    <row r="2351" spans="1:4" x14ac:dyDescent="0.35">
      <c r="A2351" t="s">
        <v>1790</v>
      </c>
      <c r="B2351" s="8" t="s">
        <v>1791</v>
      </c>
      <c r="C2351" t="s">
        <v>6841</v>
      </c>
      <c r="D2351" s="8" t="s">
        <v>6842</v>
      </c>
    </row>
    <row r="2352" spans="1:4" x14ac:dyDescent="0.35">
      <c r="A2352" t="s">
        <v>1790</v>
      </c>
      <c r="B2352" s="8" t="s">
        <v>1791</v>
      </c>
      <c r="C2352" t="s">
        <v>6588</v>
      </c>
      <c r="D2352" s="8" t="s">
        <v>6589</v>
      </c>
    </row>
    <row r="2353" spans="1:4" x14ac:dyDescent="0.35">
      <c r="A2353" t="s">
        <v>1792</v>
      </c>
      <c r="B2353" s="8" t="s">
        <v>1793</v>
      </c>
      <c r="C2353" t="s">
        <v>6644</v>
      </c>
      <c r="D2353" s="8" t="s">
        <v>6645</v>
      </c>
    </row>
    <row r="2354" spans="1:4" x14ac:dyDescent="0.35">
      <c r="A2354" t="s">
        <v>1792</v>
      </c>
      <c r="B2354" s="8" t="s">
        <v>1793</v>
      </c>
      <c r="C2354" t="s">
        <v>6833</v>
      </c>
      <c r="D2354" s="8" t="s">
        <v>6834</v>
      </c>
    </row>
    <row r="2355" spans="1:4" x14ac:dyDescent="0.35">
      <c r="A2355" t="s">
        <v>1792</v>
      </c>
      <c r="B2355" s="8" t="s">
        <v>1793</v>
      </c>
      <c r="C2355" t="s">
        <v>6841</v>
      </c>
      <c r="D2355" s="8" t="s">
        <v>6842</v>
      </c>
    </row>
    <row r="2356" spans="1:4" x14ac:dyDescent="0.35">
      <c r="A2356" t="s">
        <v>1792</v>
      </c>
      <c r="B2356" s="8" t="s">
        <v>1793</v>
      </c>
      <c r="C2356" t="s">
        <v>6588</v>
      </c>
      <c r="D2356" s="8" t="s">
        <v>6589</v>
      </c>
    </row>
    <row r="2357" spans="1:4" x14ac:dyDescent="0.35">
      <c r="A2357" t="s">
        <v>1794</v>
      </c>
      <c r="B2357" s="8" t="s">
        <v>1795</v>
      </c>
      <c r="C2357" t="s">
        <v>6644</v>
      </c>
      <c r="D2357" s="8" t="s">
        <v>6645</v>
      </c>
    </row>
    <row r="2358" spans="1:4" x14ac:dyDescent="0.35">
      <c r="A2358" t="s">
        <v>1794</v>
      </c>
      <c r="B2358" s="8" t="s">
        <v>1795</v>
      </c>
      <c r="C2358" t="s">
        <v>6833</v>
      </c>
      <c r="D2358" s="8" t="s">
        <v>6834</v>
      </c>
    </row>
    <row r="2359" spans="1:4" x14ac:dyDescent="0.35">
      <c r="A2359" t="s">
        <v>1794</v>
      </c>
      <c r="B2359" s="8" t="s">
        <v>1795</v>
      </c>
      <c r="C2359" t="s">
        <v>6841</v>
      </c>
      <c r="D2359" s="8" t="s">
        <v>6842</v>
      </c>
    </row>
    <row r="2360" spans="1:4" x14ac:dyDescent="0.35">
      <c r="A2360" t="s">
        <v>1794</v>
      </c>
      <c r="B2360" s="8" t="s">
        <v>1795</v>
      </c>
      <c r="C2360" t="s">
        <v>6588</v>
      </c>
      <c r="D2360" s="8" t="s">
        <v>6589</v>
      </c>
    </row>
    <row r="2361" spans="1:4" x14ac:dyDescent="0.35">
      <c r="A2361" t="s">
        <v>1796</v>
      </c>
      <c r="B2361" s="8" t="s">
        <v>1797</v>
      </c>
      <c r="C2361" t="s">
        <v>6644</v>
      </c>
      <c r="D2361" s="8" t="s">
        <v>6645</v>
      </c>
    </row>
    <row r="2362" spans="1:4" x14ac:dyDescent="0.35">
      <c r="A2362" t="s">
        <v>1796</v>
      </c>
      <c r="B2362" s="8" t="s">
        <v>1797</v>
      </c>
      <c r="C2362" t="s">
        <v>6833</v>
      </c>
      <c r="D2362" s="8" t="s">
        <v>6834</v>
      </c>
    </row>
    <row r="2363" spans="1:4" x14ac:dyDescent="0.35">
      <c r="A2363" t="s">
        <v>1796</v>
      </c>
      <c r="B2363" s="8" t="s">
        <v>1797</v>
      </c>
      <c r="C2363" t="s">
        <v>6835</v>
      </c>
      <c r="D2363" s="8" t="s">
        <v>6836</v>
      </c>
    </row>
    <row r="2364" spans="1:4" x14ac:dyDescent="0.35">
      <c r="A2364" t="s">
        <v>1796</v>
      </c>
      <c r="B2364" s="8" t="s">
        <v>1797</v>
      </c>
      <c r="C2364" t="s">
        <v>6588</v>
      </c>
      <c r="D2364" s="8" t="s">
        <v>6589</v>
      </c>
    </row>
    <row r="2365" spans="1:4" x14ac:dyDescent="0.35">
      <c r="A2365" t="s">
        <v>1798</v>
      </c>
      <c r="B2365" s="8" t="s">
        <v>1799</v>
      </c>
      <c r="C2365" t="s">
        <v>6644</v>
      </c>
      <c r="D2365" s="8" t="s">
        <v>6645</v>
      </c>
    </row>
    <row r="2366" spans="1:4" x14ac:dyDescent="0.35">
      <c r="A2366" t="s">
        <v>1798</v>
      </c>
      <c r="B2366" s="8" t="s">
        <v>1799</v>
      </c>
      <c r="C2366" t="s">
        <v>6857</v>
      </c>
      <c r="D2366" s="8" t="s">
        <v>6858</v>
      </c>
    </row>
    <row r="2367" spans="1:4" x14ac:dyDescent="0.35">
      <c r="A2367" t="s">
        <v>1798</v>
      </c>
      <c r="B2367" s="8" t="s">
        <v>1799</v>
      </c>
      <c r="C2367" t="s">
        <v>6537</v>
      </c>
      <c r="D2367" s="8" t="s">
        <v>6538</v>
      </c>
    </row>
    <row r="2368" spans="1:4" x14ac:dyDescent="0.35">
      <c r="A2368" t="s">
        <v>1798</v>
      </c>
      <c r="B2368" s="8" t="s">
        <v>1799</v>
      </c>
      <c r="C2368" t="s">
        <v>6416</v>
      </c>
      <c r="D2368" s="8" t="s">
        <v>6417</v>
      </c>
    </row>
    <row r="2369" spans="1:4" x14ac:dyDescent="0.35">
      <c r="A2369" t="s">
        <v>1798</v>
      </c>
      <c r="B2369" s="8" t="s">
        <v>1799</v>
      </c>
      <c r="C2369" t="s">
        <v>6855</v>
      </c>
      <c r="D2369" s="8" t="s">
        <v>6856</v>
      </c>
    </row>
    <row r="2370" spans="1:4" x14ac:dyDescent="0.35">
      <c r="A2370" t="s">
        <v>1798</v>
      </c>
      <c r="B2370" s="8" t="s">
        <v>1799</v>
      </c>
      <c r="C2370" t="s">
        <v>6580</v>
      </c>
      <c r="D2370" s="8" t="s">
        <v>6581</v>
      </c>
    </row>
    <row r="2371" spans="1:4" x14ac:dyDescent="0.35">
      <c r="A2371" t="s">
        <v>1798</v>
      </c>
      <c r="B2371" s="8" t="s">
        <v>1799</v>
      </c>
      <c r="C2371" t="s">
        <v>6514</v>
      </c>
      <c r="D2371" s="8" t="s">
        <v>6515</v>
      </c>
    </row>
    <row r="2372" spans="1:4" x14ac:dyDescent="0.35">
      <c r="A2372" t="s">
        <v>1800</v>
      </c>
      <c r="B2372" s="8" t="s">
        <v>1801</v>
      </c>
      <c r="C2372" t="s">
        <v>6644</v>
      </c>
      <c r="D2372" s="8" t="s">
        <v>6645</v>
      </c>
    </row>
    <row r="2373" spans="1:4" x14ac:dyDescent="0.35">
      <c r="A2373" t="s">
        <v>1800</v>
      </c>
      <c r="B2373" s="8" t="s">
        <v>1801</v>
      </c>
      <c r="C2373" t="s">
        <v>6857</v>
      </c>
      <c r="D2373" s="8" t="s">
        <v>6858</v>
      </c>
    </row>
    <row r="2374" spans="1:4" x14ac:dyDescent="0.35">
      <c r="A2374" t="s">
        <v>1800</v>
      </c>
      <c r="B2374" s="8" t="s">
        <v>1801</v>
      </c>
      <c r="C2374" t="s">
        <v>6580</v>
      </c>
      <c r="D2374" s="8" t="s">
        <v>6581</v>
      </c>
    </row>
    <row r="2375" spans="1:4" x14ac:dyDescent="0.35">
      <c r="A2375" t="s">
        <v>1802</v>
      </c>
      <c r="B2375" s="8" t="s">
        <v>1803</v>
      </c>
      <c r="C2375" t="s">
        <v>6644</v>
      </c>
      <c r="D2375" s="8" t="s">
        <v>6645</v>
      </c>
    </row>
    <row r="2376" spans="1:4" x14ac:dyDescent="0.35">
      <c r="A2376" t="s">
        <v>1802</v>
      </c>
      <c r="B2376" s="8" t="s">
        <v>1803</v>
      </c>
      <c r="C2376" t="s">
        <v>6857</v>
      </c>
      <c r="D2376" s="8" t="s">
        <v>6858</v>
      </c>
    </row>
    <row r="2377" spans="1:4" x14ac:dyDescent="0.35">
      <c r="A2377" t="s">
        <v>1802</v>
      </c>
      <c r="B2377" s="8" t="s">
        <v>1803</v>
      </c>
      <c r="C2377" t="s">
        <v>6580</v>
      </c>
      <c r="D2377" s="8" t="s">
        <v>6581</v>
      </c>
    </row>
    <row r="2378" spans="1:4" x14ac:dyDescent="0.35">
      <c r="A2378" t="s">
        <v>1804</v>
      </c>
      <c r="B2378" s="8" t="s">
        <v>1805</v>
      </c>
      <c r="C2378" t="s">
        <v>6644</v>
      </c>
      <c r="D2378" s="8" t="s">
        <v>6645</v>
      </c>
    </row>
    <row r="2379" spans="1:4" x14ac:dyDescent="0.35">
      <c r="A2379" t="s">
        <v>1804</v>
      </c>
      <c r="B2379" s="8" t="s">
        <v>1805</v>
      </c>
      <c r="C2379" t="s">
        <v>6857</v>
      </c>
      <c r="D2379" s="8" t="s">
        <v>6858</v>
      </c>
    </row>
    <row r="2380" spans="1:4" x14ac:dyDescent="0.35">
      <c r="A2380" t="s">
        <v>1804</v>
      </c>
      <c r="B2380" s="8" t="s">
        <v>1805</v>
      </c>
      <c r="C2380" t="s">
        <v>6580</v>
      </c>
      <c r="D2380" s="8" t="s">
        <v>6581</v>
      </c>
    </row>
    <row r="2381" spans="1:4" x14ac:dyDescent="0.35">
      <c r="A2381" t="s">
        <v>1806</v>
      </c>
      <c r="B2381" s="8" t="s">
        <v>1807</v>
      </c>
      <c r="C2381" t="s">
        <v>6644</v>
      </c>
      <c r="D2381" s="8" t="s">
        <v>6645</v>
      </c>
    </row>
    <row r="2382" spans="1:4" x14ac:dyDescent="0.35">
      <c r="A2382" t="s">
        <v>1806</v>
      </c>
      <c r="B2382" s="8" t="s">
        <v>1807</v>
      </c>
      <c r="C2382" t="s">
        <v>6857</v>
      </c>
      <c r="D2382" s="8" t="s">
        <v>6858</v>
      </c>
    </row>
    <row r="2383" spans="1:4" x14ac:dyDescent="0.35">
      <c r="A2383" t="s">
        <v>1806</v>
      </c>
      <c r="B2383" s="8" t="s">
        <v>1807</v>
      </c>
      <c r="C2383" t="s">
        <v>6580</v>
      </c>
      <c r="D2383" s="8" t="s">
        <v>6581</v>
      </c>
    </row>
    <row r="2384" spans="1:4" x14ac:dyDescent="0.35">
      <c r="A2384" t="s">
        <v>1808</v>
      </c>
      <c r="B2384" s="8" t="s">
        <v>1809</v>
      </c>
      <c r="C2384" t="s">
        <v>6644</v>
      </c>
      <c r="D2384" s="8" t="s">
        <v>6645</v>
      </c>
    </row>
    <row r="2385" spans="1:4" x14ac:dyDescent="0.35">
      <c r="A2385" t="s">
        <v>1808</v>
      </c>
      <c r="B2385" s="8" t="s">
        <v>1809</v>
      </c>
      <c r="C2385" t="s">
        <v>6857</v>
      </c>
      <c r="D2385" s="8" t="s">
        <v>6858</v>
      </c>
    </row>
    <row r="2386" spans="1:4" x14ac:dyDescent="0.35">
      <c r="A2386" t="s">
        <v>1808</v>
      </c>
      <c r="B2386" s="8" t="s">
        <v>1809</v>
      </c>
      <c r="C2386" t="s">
        <v>6580</v>
      </c>
      <c r="D2386" s="8" t="s">
        <v>6581</v>
      </c>
    </row>
    <row r="2387" spans="1:4" x14ac:dyDescent="0.35">
      <c r="A2387" t="s">
        <v>1810</v>
      </c>
      <c r="B2387" s="8" t="s">
        <v>1811</v>
      </c>
      <c r="C2387" t="s">
        <v>6644</v>
      </c>
      <c r="D2387" s="8" t="s">
        <v>6645</v>
      </c>
    </row>
    <row r="2388" spans="1:4" x14ac:dyDescent="0.35">
      <c r="A2388" t="s">
        <v>1810</v>
      </c>
      <c r="B2388" s="8" t="s">
        <v>1811</v>
      </c>
      <c r="C2388" t="s">
        <v>6860</v>
      </c>
      <c r="D2388" s="8" t="s">
        <v>6861</v>
      </c>
    </row>
    <row r="2389" spans="1:4" x14ac:dyDescent="0.35">
      <c r="A2389" t="s">
        <v>1810</v>
      </c>
      <c r="B2389" s="8" t="s">
        <v>1811</v>
      </c>
      <c r="C2389" t="s">
        <v>6857</v>
      </c>
      <c r="D2389" s="8" t="s">
        <v>6858</v>
      </c>
    </row>
    <row r="2390" spans="1:4" x14ac:dyDescent="0.35">
      <c r="A2390" t="s">
        <v>1810</v>
      </c>
      <c r="B2390" s="8" t="s">
        <v>1811</v>
      </c>
      <c r="C2390" t="s">
        <v>6537</v>
      </c>
      <c r="D2390" s="8" t="s">
        <v>6538</v>
      </c>
    </row>
    <row r="2391" spans="1:4" x14ac:dyDescent="0.35">
      <c r="A2391" t="s">
        <v>1810</v>
      </c>
      <c r="B2391" s="8" t="s">
        <v>1811</v>
      </c>
      <c r="C2391" t="s">
        <v>6416</v>
      </c>
      <c r="D2391" s="8" t="s">
        <v>6417</v>
      </c>
    </row>
    <row r="2392" spans="1:4" x14ac:dyDescent="0.35">
      <c r="A2392" t="s">
        <v>1810</v>
      </c>
      <c r="B2392" s="8" t="s">
        <v>1811</v>
      </c>
      <c r="C2392" t="s">
        <v>6855</v>
      </c>
      <c r="D2392" s="8" t="s">
        <v>6856</v>
      </c>
    </row>
    <row r="2393" spans="1:4" x14ac:dyDescent="0.35">
      <c r="A2393" t="s">
        <v>1810</v>
      </c>
      <c r="B2393" s="8" t="s">
        <v>1811</v>
      </c>
      <c r="C2393" t="s">
        <v>6580</v>
      </c>
      <c r="D2393" s="8" t="s">
        <v>6581</v>
      </c>
    </row>
    <row r="2394" spans="1:4" x14ac:dyDescent="0.35">
      <c r="A2394" t="s">
        <v>1812</v>
      </c>
      <c r="B2394" s="8" t="s">
        <v>1813</v>
      </c>
      <c r="C2394" t="s">
        <v>6644</v>
      </c>
      <c r="D2394" s="8" t="s">
        <v>6645</v>
      </c>
    </row>
    <row r="2395" spans="1:4" x14ac:dyDescent="0.35">
      <c r="A2395" t="s">
        <v>1812</v>
      </c>
      <c r="B2395" s="8" t="s">
        <v>1813</v>
      </c>
      <c r="C2395" t="s">
        <v>6857</v>
      </c>
      <c r="D2395" s="8" t="s">
        <v>6858</v>
      </c>
    </row>
    <row r="2396" spans="1:4" x14ac:dyDescent="0.35">
      <c r="A2396" t="s">
        <v>1812</v>
      </c>
      <c r="B2396" s="8" t="s">
        <v>1813</v>
      </c>
      <c r="C2396" t="s">
        <v>6416</v>
      </c>
      <c r="D2396" s="8" t="s">
        <v>6417</v>
      </c>
    </row>
    <row r="2397" spans="1:4" x14ac:dyDescent="0.35">
      <c r="A2397" t="s">
        <v>1812</v>
      </c>
      <c r="B2397" s="8" t="s">
        <v>1813</v>
      </c>
      <c r="C2397" t="s">
        <v>6855</v>
      </c>
      <c r="D2397" s="8" t="s">
        <v>6856</v>
      </c>
    </row>
    <row r="2398" spans="1:4" x14ac:dyDescent="0.35">
      <c r="A2398" t="s">
        <v>1814</v>
      </c>
      <c r="B2398" s="8" t="s">
        <v>1815</v>
      </c>
      <c r="C2398" t="s">
        <v>6644</v>
      </c>
      <c r="D2398" s="8" t="s">
        <v>6645</v>
      </c>
    </row>
    <row r="2399" spans="1:4" x14ac:dyDescent="0.35">
      <c r="A2399" t="s">
        <v>1814</v>
      </c>
      <c r="B2399" s="8" t="s">
        <v>1815</v>
      </c>
      <c r="C2399" t="s">
        <v>6860</v>
      </c>
      <c r="D2399" s="8" t="s">
        <v>6861</v>
      </c>
    </row>
    <row r="2400" spans="1:4" x14ac:dyDescent="0.35">
      <c r="A2400" t="s">
        <v>1814</v>
      </c>
      <c r="B2400" s="8" t="s">
        <v>1815</v>
      </c>
      <c r="C2400" t="s">
        <v>6857</v>
      </c>
      <c r="D2400" s="8" t="s">
        <v>6858</v>
      </c>
    </row>
    <row r="2401" spans="1:4" x14ac:dyDescent="0.35">
      <c r="A2401" t="s">
        <v>1814</v>
      </c>
      <c r="B2401" s="8" t="s">
        <v>1815</v>
      </c>
      <c r="C2401" t="s">
        <v>6537</v>
      </c>
      <c r="D2401" s="8" t="s">
        <v>6538</v>
      </c>
    </row>
    <row r="2402" spans="1:4" x14ac:dyDescent="0.35">
      <c r="A2402" t="s">
        <v>1814</v>
      </c>
      <c r="B2402" s="8" t="s">
        <v>1815</v>
      </c>
      <c r="C2402" t="s">
        <v>6416</v>
      </c>
      <c r="D2402" s="8" t="s">
        <v>6417</v>
      </c>
    </row>
    <row r="2403" spans="1:4" x14ac:dyDescent="0.35">
      <c r="A2403" t="s">
        <v>1814</v>
      </c>
      <c r="B2403" s="8" t="s">
        <v>1815</v>
      </c>
      <c r="C2403" t="s">
        <v>6855</v>
      </c>
      <c r="D2403" s="8" t="s">
        <v>6856</v>
      </c>
    </row>
    <row r="2404" spans="1:4" x14ac:dyDescent="0.35">
      <c r="A2404" t="s">
        <v>1814</v>
      </c>
      <c r="B2404" s="8" t="s">
        <v>1815</v>
      </c>
      <c r="C2404" t="s">
        <v>6580</v>
      </c>
      <c r="D2404" s="8" t="s">
        <v>6581</v>
      </c>
    </row>
    <row r="2405" spans="1:4" x14ac:dyDescent="0.35">
      <c r="A2405" t="s">
        <v>1816</v>
      </c>
      <c r="B2405" s="8" t="s">
        <v>1817</v>
      </c>
      <c r="C2405" t="s">
        <v>6644</v>
      </c>
      <c r="D2405" s="8" t="s">
        <v>6645</v>
      </c>
    </row>
    <row r="2406" spans="1:4" x14ac:dyDescent="0.35">
      <c r="A2406" t="s">
        <v>1816</v>
      </c>
      <c r="B2406" s="8" t="s">
        <v>1817</v>
      </c>
      <c r="C2406" t="s">
        <v>6862</v>
      </c>
      <c r="D2406" s="8" t="s">
        <v>6863</v>
      </c>
    </row>
    <row r="2407" spans="1:4" x14ac:dyDescent="0.35">
      <c r="A2407" t="s">
        <v>1816</v>
      </c>
      <c r="B2407" s="8" t="s">
        <v>1817</v>
      </c>
      <c r="C2407" t="s">
        <v>6864</v>
      </c>
      <c r="D2407" s="8" t="s">
        <v>6865</v>
      </c>
    </row>
    <row r="2408" spans="1:4" x14ac:dyDescent="0.35">
      <c r="A2408" t="s">
        <v>1816</v>
      </c>
      <c r="B2408" s="8" t="s">
        <v>1817</v>
      </c>
      <c r="C2408" t="s">
        <v>6866</v>
      </c>
      <c r="D2408" s="8" t="s">
        <v>6867</v>
      </c>
    </row>
    <row r="2409" spans="1:4" x14ac:dyDescent="0.35">
      <c r="A2409" t="s">
        <v>1816</v>
      </c>
      <c r="B2409" s="8" t="s">
        <v>1817</v>
      </c>
      <c r="C2409" t="s">
        <v>6857</v>
      </c>
      <c r="D2409" s="8" t="s">
        <v>6858</v>
      </c>
    </row>
    <row r="2410" spans="1:4" x14ac:dyDescent="0.35">
      <c r="A2410" t="s">
        <v>1816</v>
      </c>
      <c r="B2410" s="8" t="s">
        <v>1817</v>
      </c>
      <c r="C2410" t="s">
        <v>6416</v>
      </c>
      <c r="D2410" s="8" t="s">
        <v>6417</v>
      </c>
    </row>
    <row r="2411" spans="1:4" x14ac:dyDescent="0.35">
      <c r="A2411" t="s">
        <v>1816</v>
      </c>
      <c r="B2411" s="8" t="s">
        <v>1817</v>
      </c>
      <c r="C2411" t="s">
        <v>6855</v>
      </c>
      <c r="D2411" s="8" t="s">
        <v>6856</v>
      </c>
    </row>
    <row r="2412" spans="1:4" x14ac:dyDescent="0.35">
      <c r="A2412" t="s">
        <v>1816</v>
      </c>
      <c r="B2412" s="8" t="s">
        <v>1817</v>
      </c>
      <c r="C2412" t="s">
        <v>6121</v>
      </c>
      <c r="D2412" s="8" t="s">
        <v>6122</v>
      </c>
    </row>
    <row r="2413" spans="1:4" x14ac:dyDescent="0.35">
      <c r="A2413" t="s">
        <v>1816</v>
      </c>
      <c r="B2413" s="8" t="s">
        <v>1817</v>
      </c>
      <c r="C2413" t="s">
        <v>6580</v>
      </c>
      <c r="D2413" s="8" t="s">
        <v>6581</v>
      </c>
    </row>
    <row r="2414" spans="1:4" x14ac:dyDescent="0.35">
      <c r="A2414" t="s">
        <v>1818</v>
      </c>
      <c r="B2414" s="8" t="s">
        <v>1819</v>
      </c>
      <c r="C2414" t="s">
        <v>6644</v>
      </c>
      <c r="D2414" s="8" t="s">
        <v>6645</v>
      </c>
    </row>
    <row r="2415" spans="1:4" x14ac:dyDescent="0.35">
      <c r="A2415" t="s">
        <v>1818</v>
      </c>
      <c r="B2415" s="8" t="s">
        <v>1819</v>
      </c>
      <c r="C2415" t="s">
        <v>6857</v>
      </c>
      <c r="D2415" s="8" t="s">
        <v>6858</v>
      </c>
    </row>
    <row r="2416" spans="1:4" x14ac:dyDescent="0.35">
      <c r="A2416" t="s">
        <v>1818</v>
      </c>
      <c r="B2416" s="8" t="s">
        <v>1819</v>
      </c>
      <c r="C2416" t="s">
        <v>6416</v>
      </c>
      <c r="D2416" s="8" t="s">
        <v>6417</v>
      </c>
    </row>
    <row r="2417" spans="1:4" x14ac:dyDescent="0.35">
      <c r="A2417" t="s">
        <v>1818</v>
      </c>
      <c r="B2417" s="8" t="s">
        <v>1819</v>
      </c>
      <c r="C2417" t="s">
        <v>6855</v>
      </c>
      <c r="D2417" s="8" t="s">
        <v>6856</v>
      </c>
    </row>
    <row r="2418" spans="1:4" x14ac:dyDescent="0.35">
      <c r="A2418" t="s">
        <v>1818</v>
      </c>
      <c r="B2418" s="8" t="s">
        <v>1819</v>
      </c>
      <c r="C2418" t="s">
        <v>6833</v>
      </c>
      <c r="D2418" s="8" t="s">
        <v>6834</v>
      </c>
    </row>
    <row r="2419" spans="1:4" x14ac:dyDescent="0.35">
      <c r="A2419" t="s">
        <v>1818</v>
      </c>
      <c r="B2419" s="8" t="s">
        <v>1819</v>
      </c>
      <c r="C2419" t="s">
        <v>6580</v>
      </c>
      <c r="D2419" s="8" t="s">
        <v>6581</v>
      </c>
    </row>
    <row r="2420" spans="1:4" x14ac:dyDescent="0.35">
      <c r="A2420" t="s">
        <v>1820</v>
      </c>
      <c r="B2420" s="8" t="s">
        <v>1821</v>
      </c>
      <c r="C2420" t="s">
        <v>6644</v>
      </c>
      <c r="D2420" s="8" t="s">
        <v>6645</v>
      </c>
    </row>
    <row r="2421" spans="1:4" x14ac:dyDescent="0.35">
      <c r="A2421" t="s">
        <v>1820</v>
      </c>
      <c r="B2421" s="8" t="s">
        <v>1821</v>
      </c>
      <c r="C2421" t="s">
        <v>6857</v>
      </c>
      <c r="D2421" s="8" t="s">
        <v>6858</v>
      </c>
    </row>
    <row r="2422" spans="1:4" x14ac:dyDescent="0.35">
      <c r="A2422" t="s">
        <v>1820</v>
      </c>
      <c r="B2422" s="8" t="s">
        <v>1821</v>
      </c>
      <c r="C2422" t="s">
        <v>6416</v>
      </c>
      <c r="D2422" s="8" t="s">
        <v>6417</v>
      </c>
    </row>
    <row r="2423" spans="1:4" x14ac:dyDescent="0.35">
      <c r="A2423" t="s">
        <v>1820</v>
      </c>
      <c r="B2423" s="8" t="s">
        <v>1821</v>
      </c>
      <c r="C2423" t="s">
        <v>6855</v>
      </c>
      <c r="D2423" s="8" t="s">
        <v>6856</v>
      </c>
    </row>
    <row r="2424" spans="1:4" x14ac:dyDescent="0.35">
      <c r="A2424" t="s">
        <v>1820</v>
      </c>
      <c r="B2424" s="8" t="s">
        <v>1821</v>
      </c>
      <c r="C2424" t="s">
        <v>6580</v>
      </c>
      <c r="D2424" s="8" t="s">
        <v>6581</v>
      </c>
    </row>
    <row r="2425" spans="1:4" x14ac:dyDescent="0.35">
      <c r="A2425" t="s">
        <v>1822</v>
      </c>
      <c r="B2425" s="8" t="s">
        <v>1823</v>
      </c>
      <c r="C2425" t="s">
        <v>6644</v>
      </c>
      <c r="D2425" s="8" t="s">
        <v>6645</v>
      </c>
    </row>
    <row r="2426" spans="1:4" x14ac:dyDescent="0.35">
      <c r="A2426" t="s">
        <v>1822</v>
      </c>
      <c r="B2426" s="8" t="s">
        <v>1823</v>
      </c>
      <c r="C2426" t="s">
        <v>6860</v>
      </c>
      <c r="D2426" s="8" t="s">
        <v>6861</v>
      </c>
    </row>
    <row r="2427" spans="1:4" x14ac:dyDescent="0.35">
      <c r="A2427" t="s">
        <v>1822</v>
      </c>
      <c r="B2427" s="8" t="s">
        <v>1823</v>
      </c>
      <c r="C2427" t="s">
        <v>6537</v>
      </c>
      <c r="D2427" s="8" t="s">
        <v>6538</v>
      </c>
    </row>
    <row r="2428" spans="1:4" x14ac:dyDescent="0.35">
      <c r="A2428" t="s">
        <v>1822</v>
      </c>
      <c r="B2428" s="8" t="s">
        <v>1823</v>
      </c>
      <c r="C2428" t="s">
        <v>6416</v>
      </c>
      <c r="D2428" s="8" t="s">
        <v>6417</v>
      </c>
    </row>
    <row r="2429" spans="1:4" x14ac:dyDescent="0.35">
      <c r="A2429" t="s">
        <v>1822</v>
      </c>
      <c r="B2429" s="8" t="s">
        <v>1823</v>
      </c>
      <c r="C2429" t="s">
        <v>6542</v>
      </c>
      <c r="D2429" s="8" t="s">
        <v>6543</v>
      </c>
    </row>
    <row r="2430" spans="1:4" x14ac:dyDescent="0.35">
      <c r="A2430" t="s">
        <v>1822</v>
      </c>
      <c r="B2430" s="8" t="s">
        <v>1823</v>
      </c>
      <c r="C2430" t="s">
        <v>6580</v>
      </c>
      <c r="D2430" s="8" t="s">
        <v>6581</v>
      </c>
    </row>
    <row r="2431" spans="1:4" x14ac:dyDescent="0.35">
      <c r="A2431" t="s">
        <v>1824</v>
      </c>
      <c r="B2431" s="8" t="s">
        <v>1825</v>
      </c>
      <c r="C2431" t="s">
        <v>6860</v>
      </c>
      <c r="D2431" s="8" t="s">
        <v>6861</v>
      </c>
    </row>
    <row r="2432" spans="1:4" x14ac:dyDescent="0.35">
      <c r="A2432" t="s">
        <v>1824</v>
      </c>
      <c r="B2432" s="8" t="s">
        <v>1825</v>
      </c>
      <c r="C2432" t="s">
        <v>6857</v>
      </c>
      <c r="D2432" s="8" t="s">
        <v>6858</v>
      </c>
    </row>
    <row r="2433" spans="1:4" x14ac:dyDescent="0.35">
      <c r="A2433" t="s">
        <v>1824</v>
      </c>
      <c r="B2433" s="8" t="s">
        <v>1825</v>
      </c>
      <c r="C2433" t="s">
        <v>6537</v>
      </c>
      <c r="D2433" s="8" t="s">
        <v>6538</v>
      </c>
    </row>
    <row r="2434" spans="1:4" x14ac:dyDescent="0.35">
      <c r="A2434" t="s">
        <v>1824</v>
      </c>
      <c r="B2434" s="8" t="s">
        <v>1825</v>
      </c>
      <c r="C2434" t="s">
        <v>6416</v>
      </c>
      <c r="D2434" s="8" t="s">
        <v>6417</v>
      </c>
    </row>
    <row r="2435" spans="1:4" x14ac:dyDescent="0.35">
      <c r="A2435" t="s">
        <v>1824</v>
      </c>
      <c r="B2435" s="8" t="s">
        <v>1825</v>
      </c>
      <c r="C2435" t="s">
        <v>6580</v>
      </c>
      <c r="D2435" s="8" t="s">
        <v>6581</v>
      </c>
    </row>
    <row r="2436" spans="1:4" x14ac:dyDescent="0.35">
      <c r="A2436" t="s">
        <v>1826</v>
      </c>
      <c r="B2436" s="8" t="s">
        <v>1827</v>
      </c>
      <c r="C2436" t="s">
        <v>6644</v>
      </c>
      <c r="D2436" s="8" t="s">
        <v>6645</v>
      </c>
    </row>
    <row r="2437" spans="1:4" x14ac:dyDescent="0.35">
      <c r="A2437" t="s">
        <v>1826</v>
      </c>
      <c r="B2437" s="8" t="s">
        <v>1827</v>
      </c>
      <c r="C2437" t="s">
        <v>6860</v>
      </c>
      <c r="D2437" s="8" t="s">
        <v>6861</v>
      </c>
    </row>
    <row r="2438" spans="1:4" x14ac:dyDescent="0.35">
      <c r="A2438" t="s">
        <v>1826</v>
      </c>
      <c r="B2438" s="8" t="s">
        <v>1827</v>
      </c>
      <c r="C2438" t="s">
        <v>6857</v>
      </c>
      <c r="D2438" s="8" t="s">
        <v>6858</v>
      </c>
    </row>
    <row r="2439" spans="1:4" x14ac:dyDescent="0.35">
      <c r="A2439" t="s">
        <v>1826</v>
      </c>
      <c r="B2439" s="8" t="s">
        <v>1827</v>
      </c>
      <c r="C2439" t="s">
        <v>6537</v>
      </c>
      <c r="D2439" s="8" t="s">
        <v>6538</v>
      </c>
    </row>
    <row r="2440" spans="1:4" x14ac:dyDescent="0.35">
      <c r="A2440" t="s">
        <v>1826</v>
      </c>
      <c r="B2440" s="8" t="s">
        <v>1827</v>
      </c>
      <c r="C2440" t="s">
        <v>6416</v>
      </c>
      <c r="D2440" s="8" t="s">
        <v>6417</v>
      </c>
    </row>
    <row r="2441" spans="1:4" x14ac:dyDescent="0.35">
      <c r="A2441" t="s">
        <v>1826</v>
      </c>
      <c r="B2441" s="8" t="s">
        <v>1827</v>
      </c>
      <c r="C2441" t="s">
        <v>6580</v>
      </c>
      <c r="D2441" s="8" t="s">
        <v>6581</v>
      </c>
    </row>
    <row r="2442" spans="1:4" x14ac:dyDescent="0.35">
      <c r="A2442" t="s">
        <v>1828</v>
      </c>
      <c r="B2442" s="8" t="s">
        <v>1829</v>
      </c>
      <c r="C2442" t="s">
        <v>6644</v>
      </c>
      <c r="D2442" s="8" t="s">
        <v>6645</v>
      </c>
    </row>
    <row r="2443" spans="1:4" x14ac:dyDescent="0.35">
      <c r="A2443" t="s">
        <v>1828</v>
      </c>
      <c r="B2443" s="8" t="s">
        <v>1829</v>
      </c>
      <c r="C2443" t="s">
        <v>6860</v>
      </c>
      <c r="D2443" s="8" t="s">
        <v>6861</v>
      </c>
    </row>
    <row r="2444" spans="1:4" x14ac:dyDescent="0.35">
      <c r="A2444" t="s">
        <v>1828</v>
      </c>
      <c r="B2444" s="8" t="s">
        <v>1829</v>
      </c>
      <c r="C2444" t="s">
        <v>6537</v>
      </c>
      <c r="D2444" s="8" t="s">
        <v>6538</v>
      </c>
    </row>
    <row r="2445" spans="1:4" x14ac:dyDescent="0.35">
      <c r="A2445" t="s">
        <v>1828</v>
      </c>
      <c r="B2445" s="8" t="s">
        <v>1829</v>
      </c>
      <c r="C2445" t="s">
        <v>6580</v>
      </c>
      <c r="D2445" s="8" t="s">
        <v>6581</v>
      </c>
    </row>
    <row r="2446" spans="1:4" x14ac:dyDescent="0.35">
      <c r="A2446" t="s">
        <v>6868</v>
      </c>
      <c r="B2446" s="8" t="s">
        <v>1830</v>
      </c>
      <c r="C2446" t="s">
        <v>6644</v>
      </c>
      <c r="D2446" s="8" t="s">
        <v>6645</v>
      </c>
    </row>
    <row r="2447" spans="1:4" x14ac:dyDescent="0.35">
      <c r="A2447" t="s">
        <v>6868</v>
      </c>
      <c r="B2447" s="8" t="s">
        <v>1830</v>
      </c>
      <c r="C2447" t="s">
        <v>6535</v>
      </c>
      <c r="D2447" s="8" t="s">
        <v>6536</v>
      </c>
    </row>
    <row r="2448" spans="1:4" x14ac:dyDescent="0.35">
      <c r="A2448" t="s">
        <v>6868</v>
      </c>
      <c r="B2448" s="8" t="s">
        <v>1830</v>
      </c>
      <c r="C2448" t="s">
        <v>6860</v>
      </c>
      <c r="D2448" s="8" t="s">
        <v>6861</v>
      </c>
    </row>
    <row r="2449" spans="1:4" x14ac:dyDescent="0.35">
      <c r="A2449" t="s">
        <v>6868</v>
      </c>
      <c r="B2449" s="8" t="s">
        <v>1830</v>
      </c>
      <c r="C2449" t="s">
        <v>6537</v>
      </c>
      <c r="D2449" s="8" t="s">
        <v>6538</v>
      </c>
    </row>
    <row r="2450" spans="1:4" x14ac:dyDescent="0.35">
      <c r="A2450" t="s">
        <v>6868</v>
      </c>
      <c r="B2450" s="8" t="s">
        <v>1830</v>
      </c>
      <c r="C2450" t="s">
        <v>6416</v>
      </c>
      <c r="D2450" s="8" t="s">
        <v>6417</v>
      </c>
    </row>
    <row r="2451" spans="1:4" x14ac:dyDescent="0.35">
      <c r="A2451" t="s">
        <v>6868</v>
      </c>
      <c r="B2451" s="8" t="s">
        <v>1830</v>
      </c>
      <c r="C2451" t="s">
        <v>6542</v>
      </c>
      <c r="D2451" s="8" t="s">
        <v>6543</v>
      </c>
    </row>
    <row r="2452" spans="1:4" x14ac:dyDescent="0.35">
      <c r="A2452" t="s">
        <v>6868</v>
      </c>
      <c r="B2452" s="8" t="s">
        <v>1830</v>
      </c>
      <c r="C2452" t="s">
        <v>6580</v>
      </c>
      <c r="D2452" s="8" t="s">
        <v>6581</v>
      </c>
    </row>
    <row r="2453" spans="1:4" x14ac:dyDescent="0.35">
      <c r="A2453" t="s">
        <v>1831</v>
      </c>
      <c r="B2453" s="8" t="s">
        <v>1832</v>
      </c>
      <c r="C2453" t="s">
        <v>6644</v>
      </c>
      <c r="D2453" s="8" t="s">
        <v>6645</v>
      </c>
    </row>
    <row r="2454" spans="1:4" x14ac:dyDescent="0.35">
      <c r="A2454" t="s">
        <v>1831</v>
      </c>
      <c r="B2454" s="8" t="s">
        <v>1832</v>
      </c>
      <c r="C2454" t="s">
        <v>6857</v>
      </c>
      <c r="D2454" s="8" t="s">
        <v>6858</v>
      </c>
    </row>
    <row r="2455" spans="1:4" x14ac:dyDescent="0.35">
      <c r="A2455" t="s">
        <v>1831</v>
      </c>
      <c r="B2455" s="8" t="s">
        <v>1832</v>
      </c>
      <c r="C2455" t="s">
        <v>6416</v>
      </c>
      <c r="D2455" s="8" t="s">
        <v>6417</v>
      </c>
    </row>
    <row r="2456" spans="1:4" x14ac:dyDescent="0.35">
      <c r="A2456" t="s">
        <v>1831</v>
      </c>
      <c r="B2456" s="8" t="s">
        <v>1832</v>
      </c>
      <c r="C2456" t="s">
        <v>6855</v>
      </c>
      <c r="D2456" s="8" t="s">
        <v>6856</v>
      </c>
    </row>
    <row r="2457" spans="1:4" x14ac:dyDescent="0.35">
      <c r="A2457" t="s">
        <v>1831</v>
      </c>
      <c r="B2457" s="8" t="s">
        <v>1832</v>
      </c>
      <c r="C2457" t="s">
        <v>6580</v>
      </c>
      <c r="D2457" s="8" t="s">
        <v>6581</v>
      </c>
    </row>
    <row r="2458" spans="1:4" x14ac:dyDescent="0.35">
      <c r="A2458" t="s">
        <v>1833</v>
      </c>
      <c r="B2458" s="8" t="s">
        <v>1834</v>
      </c>
      <c r="C2458" t="s">
        <v>6163</v>
      </c>
      <c r="D2458" s="8" t="s">
        <v>6164</v>
      </c>
    </row>
    <row r="2459" spans="1:4" x14ac:dyDescent="0.35">
      <c r="A2459" t="s">
        <v>1835</v>
      </c>
      <c r="B2459" s="8" t="s">
        <v>1836</v>
      </c>
      <c r="C2459" t="s">
        <v>6163</v>
      </c>
      <c r="D2459" s="8" t="s">
        <v>6164</v>
      </c>
    </row>
    <row r="2460" spans="1:4" x14ac:dyDescent="0.35">
      <c r="A2460" t="s">
        <v>1837</v>
      </c>
      <c r="B2460" s="8" t="s">
        <v>1838</v>
      </c>
      <c r="C2460" t="s">
        <v>6163</v>
      </c>
      <c r="D2460" s="8" t="s">
        <v>6164</v>
      </c>
    </row>
    <row r="2461" spans="1:4" x14ac:dyDescent="0.35">
      <c r="A2461" t="s">
        <v>1839</v>
      </c>
      <c r="B2461" s="8" t="s">
        <v>1840</v>
      </c>
      <c r="C2461" t="s">
        <v>6163</v>
      </c>
      <c r="D2461" s="8" t="s">
        <v>6164</v>
      </c>
    </row>
    <row r="2462" spans="1:4" x14ac:dyDescent="0.35">
      <c r="A2462" t="s">
        <v>1841</v>
      </c>
      <c r="B2462" s="8" t="s">
        <v>1842</v>
      </c>
      <c r="C2462" t="s">
        <v>6163</v>
      </c>
      <c r="D2462" s="8" t="s">
        <v>6164</v>
      </c>
    </row>
    <row r="2463" spans="1:4" x14ac:dyDescent="0.35">
      <c r="A2463" t="s">
        <v>1843</v>
      </c>
      <c r="B2463" s="8" t="s">
        <v>1844</v>
      </c>
      <c r="C2463" t="s">
        <v>6163</v>
      </c>
      <c r="D2463" s="8" t="s">
        <v>6164</v>
      </c>
    </row>
    <row r="2464" spans="1:4" x14ac:dyDescent="0.35">
      <c r="A2464" t="s">
        <v>1845</v>
      </c>
      <c r="B2464" s="8" t="s">
        <v>1846</v>
      </c>
      <c r="C2464" t="s">
        <v>6163</v>
      </c>
      <c r="D2464" s="8" t="s">
        <v>6164</v>
      </c>
    </row>
    <row r="2465" spans="1:4" x14ac:dyDescent="0.35">
      <c r="A2465" t="s">
        <v>1847</v>
      </c>
      <c r="B2465" s="8" t="s">
        <v>1848</v>
      </c>
      <c r="C2465" t="s">
        <v>6163</v>
      </c>
      <c r="D2465" s="8" t="s">
        <v>6164</v>
      </c>
    </row>
    <row r="2466" spans="1:4" x14ac:dyDescent="0.35">
      <c r="A2466" t="s">
        <v>1849</v>
      </c>
      <c r="B2466" s="8" t="s">
        <v>1850</v>
      </c>
      <c r="C2466" t="s">
        <v>6869</v>
      </c>
      <c r="D2466" s="8" t="s">
        <v>6870</v>
      </c>
    </row>
    <row r="2467" spans="1:4" x14ac:dyDescent="0.35">
      <c r="A2467" t="s">
        <v>1851</v>
      </c>
      <c r="B2467" s="8" t="s">
        <v>1852</v>
      </c>
      <c r="C2467" t="s">
        <v>6869</v>
      </c>
      <c r="D2467" s="8" t="s">
        <v>6870</v>
      </c>
    </row>
    <row r="2468" spans="1:4" x14ac:dyDescent="0.35">
      <c r="A2468" t="s">
        <v>1853</v>
      </c>
      <c r="B2468" s="8" t="s">
        <v>1854</v>
      </c>
      <c r="C2468" t="s">
        <v>6869</v>
      </c>
      <c r="D2468" s="8" t="s">
        <v>6870</v>
      </c>
    </row>
    <row r="2469" spans="1:4" x14ac:dyDescent="0.35">
      <c r="A2469" t="s">
        <v>1855</v>
      </c>
      <c r="B2469" s="8" t="s">
        <v>1856</v>
      </c>
      <c r="C2469" t="s">
        <v>6871</v>
      </c>
      <c r="D2469" s="8" t="s">
        <v>6872</v>
      </c>
    </row>
    <row r="2470" spans="1:4" x14ac:dyDescent="0.35">
      <c r="A2470" t="s">
        <v>1855</v>
      </c>
      <c r="B2470" s="8" t="s">
        <v>1856</v>
      </c>
      <c r="C2470" t="s">
        <v>6873</v>
      </c>
      <c r="D2470" s="8" t="s">
        <v>6874</v>
      </c>
    </row>
    <row r="2471" spans="1:4" x14ac:dyDescent="0.35">
      <c r="A2471" t="s">
        <v>1857</v>
      </c>
      <c r="B2471" s="8" t="s">
        <v>1858</v>
      </c>
      <c r="C2471" t="s">
        <v>6869</v>
      </c>
      <c r="D2471" s="8" t="s">
        <v>6870</v>
      </c>
    </row>
    <row r="2472" spans="1:4" ht="29" x14ac:dyDescent="0.35">
      <c r="A2472" t="s">
        <v>1857</v>
      </c>
      <c r="B2472" s="8" t="s">
        <v>1858</v>
      </c>
      <c r="C2472" t="s">
        <v>6875</v>
      </c>
      <c r="D2472" s="8" t="s">
        <v>6876</v>
      </c>
    </row>
    <row r="2473" spans="1:4" x14ac:dyDescent="0.35">
      <c r="A2473" t="s">
        <v>1859</v>
      </c>
      <c r="B2473" s="8" t="s">
        <v>1860</v>
      </c>
      <c r="C2473" t="s">
        <v>6869</v>
      </c>
      <c r="D2473" s="8" t="s">
        <v>6870</v>
      </c>
    </row>
    <row r="2474" spans="1:4" x14ac:dyDescent="0.35">
      <c r="A2474" t="s">
        <v>1861</v>
      </c>
      <c r="B2474" s="8" t="s">
        <v>1862</v>
      </c>
      <c r="C2474" t="s">
        <v>6877</v>
      </c>
      <c r="D2474" s="8" t="s">
        <v>6878</v>
      </c>
    </row>
    <row r="2475" spans="1:4" x14ac:dyDescent="0.35">
      <c r="A2475" t="s">
        <v>1861</v>
      </c>
      <c r="B2475" s="8" t="s">
        <v>1862</v>
      </c>
      <c r="C2475" t="s">
        <v>6869</v>
      </c>
      <c r="D2475" s="8" t="s">
        <v>6870</v>
      </c>
    </row>
    <row r="2476" spans="1:4" x14ac:dyDescent="0.35">
      <c r="A2476" t="s">
        <v>1863</v>
      </c>
      <c r="B2476" s="8" t="s">
        <v>1864</v>
      </c>
      <c r="C2476" t="s">
        <v>6163</v>
      </c>
      <c r="D2476" s="8" t="s">
        <v>6164</v>
      </c>
    </row>
    <row r="2477" spans="1:4" x14ac:dyDescent="0.35">
      <c r="A2477" t="s">
        <v>1865</v>
      </c>
      <c r="B2477" s="8" t="s">
        <v>1866</v>
      </c>
      <c r="C2477" t="s">
        <v>6869</v>
      </c>
      <c r="D2477" s="8" t="s">
        <v>6870</v>
      </c>
    </row>
    <row r="2478" spans="1:4" x14ac:dyDescent="0.35">
      <c r="A2478" t="s">
        <v>1867</v>
      </c>
      <c r="B2478" s="8" t="s">
        <v>1868</v>
      </c>
      <c r="C2478" t="s">
        <v>6879</v>
      </c>
      <c r="D2478" s="8" t="s">
        <v>6880</v>
      </c>
    </row>
    <row r="2479" spans="1:4" x14ac:dyDescent="0.35">
      <c r="A2479" t="s">
        <v>1867</v>
      </c>
      <c r="B2479" s="8" t="s">
        <v>1868</v>
      </c>
      <c r="C2479" t="s">
        <v>6881</v>
      </c>
      <c r="D2479" s="8" t="s">
        <v>6882</v>
      </c>
    </row>
    <row r="2480" spans="1:4" x14ac:dyDescent="0.35">
      <c r="A2480" t="s">
        <v>1869</v>
      </c>
      <c r="B2480" s="8" t="s">
        <v>1870</v>
      </c>
      <c r="C2480" t="s">
        <v>6163</v>
      </c>
      <c r="D2480" s="8" t="s">
        <v>6164</v>
      </c>
    </row>
    <row r="2481" spans="1:4" x14ac:dyDescent="0.35">
      <c r="A2481" t="s">
        <v>1871</v>
      </c>
      <c r="B2481" s="8" t="s">
        <v>1872</v>
      </c>
      <c r="C2481" t="s">
        <v>6163</v>
      </c>
      <c r="D2481" s="8" t="s">
        <v>6164</v>
      </c>
    </row>
    <row r="2482" spans="1:4" x14ac:dyDescent="0.35">
      <c r="A2482" t="s">
        <v>1873</v>
      </c>
      <c r="B2482" s="8" t="s">
        <v>1874</v>
      </c>
      <c r="C2482" t="s">
        <v>6163</v>
      </c>
      <c r="D2482" s="8" t="s">
        <v>6164</v>
      </c>
    </row>
    <row r="2483" spans="1:4" x14ac:dyDescent="0.35">
      <c r="A2483" t="s">
        <v>1875</v>
      </c>
      <c r="B2483" s="8" t="s">
        <v>1876</v>
      </c>
      <c r="C2483" t="s">
        <v>6163</v>
      </c>
      <c r="D2483" s="8" t="s">
        <v>6164</v>
      </c>
    </row>
    <row r="2484" spans="1:4" x14ac:dyDescent="0.35">
      <c r="A2484" t="s">
        <v>1877</v>
      </c>
      <c r="B2484" s="8" t="s">
        <v>1878</v>
      </c>
      <c r="C2484" t="s">
        <v>6163</v>
      </c>
      <c r="D2484" s="8" t="s">
        <v>6164</v>
      </c>
    </row>
    <row r="2485" spans="1:4" x14ac:dyDescent="0.35">
      <c r="A2485" t="s">
        <v>1879</v>
      </c>
      <c r="B2485" s="8" t="s">
        <v>1880</v>
      </c>
      <c r="C2485" t="s">
        <v>6163</v>
      </c>
      <c r="D2485" s="8" t="s">
        <v>6164</v>
      </c>
    </row>
    <row r="2486" spans="1:4" x14ac:dyDescent="0.35">
      <c r="A2486" t="s">
        <v>1881</v>
      </c>
      <c r="B2486" s="8" t="s">
        <v>1882</v>
      </c>
      <c r="C2486" t="s">
        <v>6871</v>
      </c>
      <c r="D2486" s="8" t="s">
        <v>6872</v>
      </c>
    </row>
    <row r="2487" spans="1:4" x14ac:dyDescent="0.35">
      <c r="A2487" t="s">
        <v>1881</v>
      </c>
      <c r="B2487" s="8" t="s">
        <v>1882</v>
      </c>
      <c r="C2487" t="s">
        <v>6873</v>
      </c>
      <c r="D2487" s="8" t="s">
        <v>6874</v>
      </c>
    </row>
    <row r="2488" spans="1:4" x14ac:dyDescent="0.35">
      <c r="A2488" t="s">
        <v>1883</v>
      </c>
      <c r="B2488" s="8" t="s">
        <v>1884</v>
      </c>
      <c r="C2488" t="s">
        <v>6871</v>
      </c>
      <c r="D2488" s="8" t="s">
        <v>6872</v>
      </c>
    </row>
    <row r="2489" spans="1:4" x14ac:dyDescent="0.35">
      <c r="A2489" t="s">
        <v>1883</v>
      </c>
      <c r="B2489" s="8" t="s">
        <v>1884</v>
      </c>
      <c r="C2489" t="s">
        <v>6873</v>
      </c>
      <c r="D2489" s="8" t="s">
        <v>6874</v>
      </c>
    </row>
    <row r="2490" spans="1:4" x14ac:dyDescent="0.35">
      <c r="A2490" t="s">
        <v>1885</v>
      </c>
      <c r="B2490" s="8" t="s">
        <v>1886</v>
      </c>
      <c r="C2490" t="s">
        <v>6662</v>
      </c>
      <c r="D2490" s="8" t="s">
        <v>6663</v>
      </c>
    </row>
    <row r="2491" spans="1:4" x14ac:dyDescent="0.35">
      <c r="A2491" t="s">
        <v>1885</v>
      </c>
      <c r="B2491" s="8" t="s">
        <v>1886</v>
      </c>
      <c r="C2491" t="s">
        <v>6251</v>
      </c>
      <c r="D2491" s="8" t="s">
        <v>6252</v>
      </c>
    </row>
    <row r="2492" spans="1:4" x14ac:dyDescent="0.35">
      <c r="A2492" t="s">
        <v>1885</v>
      </c>
      <c r="B2492" s="8" t="s">
        <v>1886</v>
      </c>
      <c r="C2492" t="s">
        <v>6259</v>
      </c>
      <c r="D2492" s="8" t="s">
        <v>6260</v>
      </c>
    </row>
    <row r="2493" spans="1:4" x14ac:dyDescent="0.35">
      <c r="A2493" t="s">
        <v>1885</v>
      </c>
      <c r="B2493" s="8" t="s">
        <v>1886</v>
      </c>
      <c r="C2493" t="s">
        <v>6871</v>
      </c>
      <c r="D2493" s="8" t="s">
        <v>6872</v>
      </c>
    </row>
    <row r="2494" spans="1:4" x14ac:dyDescent="0.35">
      <c r="A2494" t="s">
        <v>1885</v>
      </c>
      <c r="B2494" s="8" t="s">
        <v>1886</v>
      </c>
      <c r="C2494" t="s">
        <v>6873</v>
      </c>
      <c r="D2494" s="8" t="s">
        <v>6874</v>
      </c>
    </row>
    <row r="2495" spans="1:4" x14ac:dyDescent="0.35">
      <c r="A2495" t="s">
        <v>1887</v>
      </c>
      <c r="B2495" s="8" t="s">
        <v>6883</v>
      </c>
      <c r="C2495" t="s">
        <v>6884</v>
      </c>
      <c r="D2495" s="8" t="s">
        <v>6885</v>
      </c>
    </row>
    <row r="2496" spans="1:4" x14ac:dyDescent="0.35">
      <c r="A2496" t="s">
        <v>1887</v>
      </c>
      <c r="B2496" s="8" t="s">
        <v>6883</v>
      </c>
      <c r="C2496" t="s">
        <v>6886</v>
      </c>
      <c r="D2496" s="8" t="s">
        <v>6887</v>
      </c>
    </row>
    <row r="2497" spans="1:4" x14ac:dyDescent="0.35">
      <c r="A2497" t="s">
        <v>1889</v>
      </c>
      <c r="B2497" s="8" t="s">
        <v>1890</v>
      </c>
      <c r="C2497" t="s">
        <v>6884</v>
      </c>
      <c r="D2497" s="8" t="s">
        <v>6885</v>
      </c>
    </row>
    <row r="2498" spans="1:4" x14ac:dyDescent="0.35">
      <c r="A2498" t="s">
        <v>1889</v>
      </c>
      <c r="B2498" s="8" t="s">
        <v>1890</v>
      </c>
      <c r="C2498" t="s">
        <v>6886</v>
      </c>
      <c r="D2498" s="8" t="s">
        <v>6887</v>
      </c>
    </row>
    <row r="2499" spans="1:4" x14ac:dyDescent="0.35">
      <c r="A2499" t="s">
        <v>1891</v>
      </c>
      <c r="B2499" s="8" t="s">
        <v>1892</v>
      </c>
      <c r="C2499" t="s">
        <v>6884</v>
      </c>
      <c r="D2499" s="8" t="s">
        <v>6885</v>
      </c>
    </row>
    <row r="2500" spans="1:4" x14ac:dyDescent="0.35">
      <c r="A2500" t="s">
        <v>1891</v>
      </c>
      <c r="B2500" s="8" t="s">
        <v>1892</v>
      </c>
      <c r="C2500" t="s">
        <v>6886</v>
      </c>
      <c r="D2500" s="8" t="s">
        <v>6887</v>
      </c>
    </row>
    <row r="2501" spans="1:4" x14ac:dyDescent="0.35">
      <c r="A2501" t="s">
        <v>1893</v>
      </c>
      <c r="B2501" s="8" t="s">
        <v>1894</v>
      </c>
      <c r="C2501" t="s">
        <v>6884</v>
      </c>
      <c r="D2501" s="8" t="s">
        <v>6885</v>
      </c>
    </row>
    <row r="2502" spans="1:4" x14ac:dyDescent="0.35">
      <c r="A2502" t="s">
        <v>1893</v>
      </c>
      <c r="B2502" s="8" t="s">
        <v>1894</v>
      </c>
      <c r="C2502" t="s">
        <v>6886</v>
      </c>
      <c r="D2502" s="8" t="s">
        <v>6887</v>
      </c>
    </row>
    <row r="2503" spans="1:4" x14ac:dyDescent="0.35">
      <c r="A2503" t="s">
        <v>1895</v>
      </c>
      <c r="B2503" s="8" t="s">
        <v>1896</v>
      </c>
      <c r="C2503" t="s">
        <v>6884</v>
      </c>
      <c r="D2503" s="8" t="s">
        <v>6885</v>
      </c>
    </row>
    <row r="2504" spans="1:4" x14ac:dyDescent="0.35">
      <c r="A2504" t="s">
        <v>1895</v>
      </c>
      <c r="B2504" s="8" t="s">
        <v>1896</v>
      </c>
      <c r="C2504" t="s">
        <v>6886</v>
      </c>
      <c r="D2504" s="8" t="s">
        <v>6887</v>
      </c>
    </row>
    <row r="2505" spans="1:4" x14ac:dyDescent="0.35">
      <c r="A2505" t="s">
        <v>1897</v>
      </c>
      <c r="B2505" s="8" t="s">
        <v>1898</v>
      </c>
      <c r="C2505" t="s">
        <v>6869</v>
      </c>
      <c r="D2505" s="8" t="s">
        <v>6870</v>
      </c>
    </row>
    <row r="2506" spans="1:4" x14ac:dyDescent="0.35">
      <c r="A2506" t="s">
        <v>1899</v>
      </c>
      <c r="B2506" s="8" t="s">
        <v>1900</v>
      </c>
      <c r="C2506" t="s">
        <v>6163</v>
      </c>
      <c r="D2506" s="8" t="s">
        <v>6164</v>
      </c>
    </row>
    <row r="2507" spans="1:4" x14ac:dyDescent="0.35">
      <c r="A2507" t="s">
        <v>1901</v>
      </c>
      <c r="B2507" s="8" t="s">
        <v>1902</v>
      </c>
      <c r="C2507" t="s">
        <v>6679</v>
      </c>
      <c r="D2507" s="8" t="s">
        <v>6680</v>
      </c>
    </row>
    <row r="2508" spans="1:4" x14ac:dyDescent="0.35">
      <c r="A2508" t="s">
        <v>1903</v>
      </c>
      <c r="B2508" s="8" t="s">
        <v>1904</v>
      </c>
      <c r="C2508" t="s">
        <v>6163</v>
      </c>
      <c r="D2508" s="8" t="s">
        <v>6164</v>
      </c>
    </row>
    <row r="2509" spans="1:4" x14ac:dyDescent="0.35">
      <c r="A2509" t="s">
        <v>1905</v>
      </c>
      <c r="B2509" s="8" t="s">
        <v>1906</v>
      </c>
      <c r="C2509" t="s">
        <v>6163</v>
      </c>
      <c r="D2509" s="8" t="s">
        <v>6164</v>
      </c>
    </row>
    <row r="2510" spans="1:4" x14ac:dyDescent="0.35">
      <c r="A2510" t="s">
        <v>1907</v>
      </c>
      <c r="B2510" s="8" t="s">
        <v>1908</v>
      </c>
      <c r="C2510" t="s">
        <v>6679</v>
      </c>
      <c r="D2510" s="8" t="s">
        <v>6680</v>
      </c>
    </row>
    <row r="2511" spans="1:4" x14ac:dyDescent="0.35">
      <c r="A2511" t="s">
        <v>1909</v>
      </c>
      <c r="B2511" s="8" t="s">
        <v>1910</v>
      </c>
      <c r="C2511" t="s">
        <v>6679</v>
      </c>
      <c r="D2511" s="8" t="s">
        <v>6680</v>
      </c>
    </row>
    <row r="2512" spans="1:4" x14ac:dyDescent="0.35">
      <c r="A2512" t="s">
        <v>1911</v>
      </c>
      <c r="B2512" s="8" t="s">
        <v>1912</v>
      </c>
      <c r="C2512" t="s">
        <v>6163</v>
      </c>
      <c r="D2512" s="8" t="s">
        <v>6164</v>
      </c>
    </row>
    <row r="2513" spans="1:4" x14ac:dyDescent="0.35">
      <c r="A2513" t="s">
        <v>1913</v>
      </c>
      <c r="B2513" s="8" t="s">
        <v>1914</v>
      </c>
      <c r="C2513" t="s">
        <v>6615</v>
      </c>
      <c r="D2513" s="8" t="s">
        <v>6616</v>
      </c>
    </row>
    <row r="2514" spans="1:4" x14ac:dyDescent="0.35">
      <c r="A2514" t="s">
        <v>1913</v>
      </c>
      <c r="B2514" s="8" t="s">
        <v>1914</v>
      </c>
      <c r="C2514" t="s">
        <v>6888</v>
      </c>
      <c r="D2514" s="8" t="s">
        <v>6889</v>
      </c>
    </row>
    <row r="2515" spans="1:4" x14ac:dyDescent="0.35">
      <c r="A2515" t="s">
        <v>1915</v>
      </c>
      <c r="B2515" s="8" t="s">
        <v>1916</v>
      </c>
      <c r="C2515" t="s">
        <v>6615</v>
      </c>
      <c r="D2515" s="8" t="s">
        <v>6616</v>
      </c>
    </row>
    <row r="2516" spans="1:4" x14ac:dyDescent="0.35">
      <c r="A2516" t="s">
        <v>1917</v>
      </c>
      <c r="B2516" s="8" t="s">
        <v>1918</v>
      </c>
      <c r="C2516" t="s">
        <v>6163</v>
      </c>
      <c r="D2516" s="8" t="s">
        <v>6164</v>
      </c>
    </row>
    <row r="2517" spans="1:4" x14ac:dyDescent="0.35">
      <c r="A2517" t="s">
        <v>1919</v>
      </c>
      <c r="B2517" s="8" t="s">
        <v>1920</v>
      </c>
      <c r="C2517" t="s">
        <v>6871</v>
      </c>
      <c r="D2517" s="8" t="s">
        <v>6872</v>
      </c>
    </row>
    <row r="2518" spans="1:4" x14ac:dyDescent="0.35">
      <c r="A2518" t="s">
        <v>1919</v>
      </c>
      <c r="B2518" s="8" t="s">
        <v>1920</v>
      </c>
      <c r="C2518" t="s">
        <v>6873</v>
      </c>
      <c r="D2518" s="8" t="s">
        <v>6874</v>
      </c>
    </row>
    <row r="2519" spans="1:4" x14ac:dyDescent="0.35">
      <c r="A2519" t="s">
        <v>1921</v>
      </c>
      <c r="B2519" s="8" t="s">
        <v>1922</v>
      </c>
      <c r="C2519" t="s">
        <v>6884</v>
      </c>
      <c r="D2519" s="8" t="s">
        <v>6885</v>
      </c>
    </row>
    <row r="2520" spans="1:4" x14ac:dyDescent="0.35">
      <c r="A2520" t="s">
        <v>1921</v>
      </c>
      <c r="B2520" s="8" t="s">
        <v>1922</v>
      </c>
      <c r="C2520" t="s">
        <v>6886</v>
      </c>
      <c r="D2520" s="8" t="s">
        <v>6887</v>
      </c>
    </row>
    <row r="2521" spans="1:4" x14ac:dyDescent="0.35">
      <c r="A2521" t="s">
        <v>1923</v>
      </c>
      <c r="B2521" s="8" t="s">
        <v>1924</v>
      </c>
      <c r="C2521" t="s">
        <v>6884</v>
      </c>
      <c r="D2521" s="8" t="s">
        <v>6885</v>
      </c>
    </row>
    <row r="2522" spans="1:4" x14ac:dyDescent="0.35">
      <c r="A2522" t="s">
        <v>1923</v>
      </c>
      <c r="B2522" s="8" t="s">
        <v>1924</v>
      </c>
      <c r="C2522" t="s">
        <v>6886</v>
      </c>
      <c r="D2522" s="8" t="s">
        <v>6887</v>
      </c>
    </row>
    <row r="2523" spans="1:4" x14ac:dyDescent="0.35">
      <c r="A2523" t="s">
        <v>1925</v>
      </c>
      <c r="B2523" s="8" t="s">
        <v>1926</v>
      </c>
      <c r="C2523" t="s">
        <v>6879</v>
      </c>
      <c r="D2523" s="8" t="s">
        <v>6880</v>
      </c>
    </row>
    <row r="2524" spans="1:4" x14ac:dyDescent="0.35">
      <c r="A2524" t="s">
        <v>1925</v>
      </c>
      <c r="B2524" s="8" t="s">
        <v>1926</v>
      </c>
      <c r="C2524" t="s">
        <v>6881</v>
      </c>
      <c r="D2524" s="8" t="s">
        <v>6882</v>
      </c>
    </row>
    <row r="2525" spans="1:4" x14ac:dyDescent="0.35">
      <c r="A2525" t="s">
        <v>1927</v>
      </c>
      <c r="B2525" s="8" t="s">
        <v>1928</v>
      </c>
      <c r="C2525" t="s">
        <v>6881</v>
      </c>
      <c r="D2525" s="8" t="s">
        <v>6882</v>
      </c>
    </row>
    <row r="2526" spans="1:4" x14ac:dyDescent="0.35">
      <c r="A2526" t="s">
        <v>1929</v>
      </c>
      <c r="B2526" s="8" t="s">
        <v>1930</v>
      </c>
      <c r="C2526" t="s">
        <v>6679</v>
      </c>
      <c r="D2526" s="8" t="s">
        <v>6680</v>
      </c>
    </row>
    <row r="2527" spans="1:4" x14ac:dyDescent="0.35">
      <c r="A2527" t="s">
        <v>1931</v>
      </c>
      <c r="B2527" s="8" t="s">
        <v>1932</v>
      </c>
      <c r="C2527" t="s">
        <v>6163</v>
      </c>
      <c r="D2527" s="8" t="s">
        <v>6164</v>
      </c>
    </row>
    <row r="2528" spans="1:4" x14ac:dyDescent="0.35">
      <c r="A2528" t="s">
        <v>6890</v>
      </c>
      <c r="B2528" s="8" t="s">
        <v>1933</v>
      </c>
      <c r="C2528" t="s">
        <v>6163</v>
      </c>
      <c r="D2528" s="8" t="s">
        <v>6164</v>
      </c>
    </row>
    <row r="2529" spans="1:4" x14ac:dyDescent="0.35">
      <c r="A2529" t="s">
        <v>1934</v>
      </c>
      <c r="B2529" s="8" t="s">
        <v>1935</v>
      </c>
      <c r="C2529" t="s">
        <v>6163</v>
      </c>
      <c r="D2529" s="8" t="s">
        <v>6164</v>
      </c>
    </row>
    <row r="2530" spans="1:4" x14ac:dyDescent="0.35">
      <c r="A2530" t="s">
        <v>1936</v>
      </c>
      <c r="B2530" s="8" t="s">
        <v>1937</v>
      </c>
      <c r="C2530" t="s">
        <v>6163</v>
      </c>
      <c r="D2530" s="8" t="s">
        <v>6164</v>
      </c>
    </row>
    <row r="2531" spans="1:4" x14ac:dyDescent="0.35">
      <c r="A2531" t="s">
        <v>6891</v>
      </c>
      <c r="B2531" s="8" t="s">
        <v>1938</v>
      </c>
      <c r="C2531" t="s">
        <v>6163</v>
      </c>
      <c r="D2531" s="8" t="s">
        <v>6164</v>
      </c>
    </row>
    <row r="2532" spans="1:4" x14ac:dyDescent="0.35">
      <c r="A2532" t="s">
        <v>1939</v>
      </c>
      <c r="B2532" s="8" t="s">
        <v>1940</v>
      </c>
      <c r="C2532" t="s">
        <v>6644</v>
      </c>
      <c r="D2532" s="8" t="s">
        <v>6645</v>
      </c>
    </row>
    <row r="2533" spans="1:4" x14ac:dyDescent="0.35">
      <c r="A2533" t="s">
        <v>1939</v>
      </c>
      <c r="B2533" s="8" t="s">
        <v>1940</v>
      </c>
      <c r="C2533" t="s">
        <v>6483</v>
      </c>
      <c r="D2533" s="8" t="s">
        <v>6484</v>
      </c>
    </row>
    <row r="2534" spans="1:4" x14ac:dyDescent="0.35">
      <c r="A2534" t="s">
        <v>1939</v>
      </c>
      <c r="B2534" s="8" t="s">
        <v>1940</v>
      </c>
      <c r="C2534" t="s">
        <v>6514</v>
      </c>
      <c r="D2534" s="8" t="s">
        <v>6515</v>
      </c>
    </row>
    <row r="2535" spans="1:4" x14ac:dyDescent="0.35">
      <c r="A2535" t="s">
        <v>1941</v>
      </c>
      <c r="B2535" s="8" t="s">
        <v>1942</v>
      </c>
      <c r="C2535" t="s">
        <v>6268</v>
      </c>
      <c r="D2535" s="8" t="s">
        <v>6269</v>
      </c>
    </row>
    <row r="2536" spans="1:4" x14ac:dyDescent="0.35">
      <c r="A2536" t="s">
        <v>1941</v>
      </c>
      <c r="B2536" s="8" t="s">
        <v>1942</v>
      </c>
      <c r="C2536" t="s">
        <v>6802</v>
      </c>
      <c r="D2536" s="8" t="s">
        <v>6803</v>
      </c>
    </row>
    <row r="2537" spans="1:4" x14ac:dyDescent="0.35">
      <c r="A2537" t="s">
        <v>1941</v>
      </c>
      <c r="B2537" s="8" t="s">
        <v>1942</v>
      </c>
      <c r="C2537" t="s">
        <v>6483</v>
      </c>
      <c r="D2537" s="8" t="s">
        <v>6484</v>
      </c>
    </row>
    <row r="2538" spans="1:4" x14ac:dyDescent="0.35">
      <c r="A2538" t="s">
        <v>1943</v>
      </c>
      <c r="B2538" s="8" t="s">
        <v>1944</v>
      </c>
      <c r="C2538" t="s">
        <v>6243</v>
      </c>
      <c r="D2538" s="8" t="s">
        <v>6244</v>
      </c>
    </row>
    <row r="2539" spans="1:4" x14ac:dyDescent="0.35">
      <c r="A2539" t="s">
        <v>1943</v>
      </c>
      <c r="B2539" s="8" t="s">
        <v>1944</v>
      </c>
      <c r="C2539" t="s">
        <v>6483</v>
      </c>
      <c r="D2539" s="8" t="s">
        <v>6484</v>
      </c>
    </row>
    <row r="2540" spans="1:4" x14ac:dyDescent="0.35">
      <c r="A2540" t="s">
        <v>1945</v>
      </c>
      <c r="B2540" s="8" t="s">
        <v>1946</v>
      </c>
      <c r="C2540" t="s">
        <v>6394</v>
      </c>
      <c r="D2540" s="8" t="s">
        <v>6395</v>
      </c>
    </row>
    <row r="2541" spans="1:4" x14ac:dyDescent="0.35">
      <c r="A2541" t="s">
        <v>1945</v>
      </c>
      <c r="B2541" s="8" t="s">
        <v>1946</v>
      </c>
      <c r="C2541" t="s">
        <v>6644</v>
      </c>
      <c r="D2541" s="8" t="s">
        <v>6645</v>
      </c>
    </row>
    <row r="2542" spans="1:4" x14ac:dyDescent="0.35">
      <c r="A2542" t="s">
        <v>1945</v>
      </c>
      <c r="B2542" s="8" t="s">
        <v>1946</v>
      </c>
      <c r="C2542" t="s">
        <v>6414</v>
      </c>
      <c r="D2542" s="8" t="s">
        <v>6415</v>
      </c>
    </row>
    <row r="2543" spans="1:4" x14ac:dyDescent="0.35">
      <c r="A2543" t="s">
        <v>1945</v>
      </c>
      <c r="B2543" s="8" t="s">
        <v>1946</v>
      </c>
      <c r="C2543" t="s">
        <v>6410</v>
      </c>
      <c r="D2543" s="8" t="s">
        <v>6411</v>
      </c>
    </row>
    <row r="2544" spans="1:4" x14ac:dyDescent="0.35">
      <c r="A2544" t="s">
        <v>1945</v>
      </c>
      <c r="B2544" s="8" t="s">
        <v>1946</v>
      </c>
      <c r="C2544" t="s">
        <v>6857</v>
      </c>
      <c r="D2544" s="8" t="s">
        <v>6858</v>
      </c>
    </row>
    <row r="2545" spans="1:4" x14ac:dyDescent="0.35">
      <c r="A2545" t="s">
        <v>1945</v>
      </c>
      <c r="B2545" s="8" t="s">
        <v>1946</v>
      </c>
      <c r="C2545" t="s">
        <v>6416</v>
      </c>
      <c r="D2545" s="8" t="s">
        <v>6417</v>
      </c>
    </row>
    <row r="2546" spans="1:4" x14ac:dyDescent="0.35">
      <c r="A2546" t="s">
        <v>1945</v>
      </c>
      <c r="B2546" s="8" t="s">
        <v>1946</v>
      </c>
      <c r="C2546" t="s">
        <v>6855</v>
      </c>
      <c r="D2546" s="8" t="s">
        <v>6856</v>
      </c>
    </row>
    <row r="2547" spans="1:4" x14ac:dyDescent="0.35">
      <c r="A2547" t="s">
        <v>1945</v>
      </c>
      <c r="B2547" s="8" t="s">
        <v>1946</v>
      </c>
      <c r="C2547" t="s">
        <v>6412</v>
      </c>
      <c r="D2547" s="8" t="s">
        <v>6413</v>
      </c>
    </row>
    <row r="2548" spans="1:4" x14ac:dyDescent="0.35">
      <c r="A2548" t="s">
        <v>1945</v>
      </c>
      <c r="B2548" s="8" t="s">
        <v>1946</v>
      </c>
      <c r="C2548" t="s">
        <v>6580</v>
      </c>
      <c r="D2548" s="8" t="s">
        <v>6581</v>
      </c>
    </row>
    <row r="2549" spans="1:4" x14ac:dyDescent="0.35">
      <c r="A2549" t="s">
        <v>1947</v>
      </c>
      <c r="B2549" s="8" t="s">
        <v>1948</v>
      </c>
      <c r="C2549" t="s">
        <v>6644</v>
      </c>
      <c r="D2549" s="8" t="s">
        <v>6645</v>
      </c>
    </row>
    <row r="2550" spans="1:4" x14ac:dyDescent="0.35">
      <c r="A2550" t="s">
        <v>1947</v>
      </c>
      <c r="B2550" s="8" t="s">
        <v>1948</v>
      </c>
      <c r="C2550" t="s">
        <v>6841</v>
      </c>
      <c r="D2550" s="8" t="s">
        <v>6842</v>
      </c>
    </row>
    <row r="2551" spans="1:4" x14ac:dyDescent="0.35">
      <c r="A2551" t="s">
        <v>1947</v>
      </c>
      <c r="B2551" s="8" t="s">
        <v>1948</v>
      </c>
      <c r="C2551" t="s">
        <v>6268</v>
      </c>
      <c r="D2551" s="8" t="s">
        <v>6269</v>
      </c>
    </row>
    <row r="2552" spans="1:4" x14ac:dyDescent="0.35">
      <c r="A2552" t="s">
        <v>1947</v>
      </c>
      <c r="B2552" s="8" t="s">
        <v>1948</v>
      </c>
      <c r="C2552" t="s">
        <v>6588</v>
      </c>
      <c r="D2552" s="8" t="s">
        <v>6589</v>
      </c>
    </row>
    <row r="2553" spans="1:4" x14ac:dyDescent="0.35">
      <c r="A2553" t="s">
        <v>1947</v>
      </c>
      <c r="B2553" s="8" t="s">
        <v>1948</v>
      </c>
      <c r="C2553" t="s">
        <v>6600</v>
      </c>
      <c r="D2553" s="8" t="s">
        <v>6601</v>
      </c>
    </row>
    <row r="2554" spans="1:4" x14ac:dyDescent="0.35">
      <c r="A2554" t="s">
        <v>1949</v>
      </c>
      <c r="B2554" s="8" t="s">
        <v>1950</v>
      </c>
      <c r="C2554" t="s">
        <v>6841</v>
      </c>
      <c r="D2554" s="8" t="s">
        <v>6842</v>
      </c>
    </row>
    <row r="2555" spans="1:4" x14ac:dyDescent="0.35">
      <c r="A2555" t="s">
        <v>1949</v>
      </c>
      <c r="B2555" s="8" t="s">
        <v>1950</v>
      </c>
      <c r="C2555" t="s">
        <v>6268</v>
      </c>
      <c r="D2555" s="8" t="s">
        <v>6269</v>
      </c>
    </row>
    <row r="2556" spans="1:4" x14ac:dyDescent="0.35">
      <c r="A2556" t="s">
        <v>1949</v>
      </c>
      <c r="B2556" s="8" t="s">
        <v>1950</v>
      </c>
      <c r="C2556" t="s">
        <v>6194</v>
      </c>
      <c r="D2556" s="8" t="s">
        <v>6195</v>
      </c>
    </row>
    <row r="2557" spans="1:4" x14ac:dyDescent="0.35">
      <c r="A2557" t="s">
        <v>1949</v>
      </c>
      <c r="B2557" s="8" t="s">
        <v>1950</v>
      </c>
      <c r="C2557" t="s">
        <v>6892</v>
      </c>
      <c r="D2557" s="8" t="s">
        <v>6893</v>
      </c>
    </row>
    <row r="2558" spans="1:4" x14ac:dyDescent="0.35">
      <c r="A2558" t="s">
        <v>1951</v>
      </c>
      <c r="B2558" s="8" t="s">
        <v>1953</v>
      </c>
      <c r="C2558" t="s">
        <v>6740</v>
      </c>
      <c r="D2558" s="8" t="s">
        <v>6741</v>
      </c>
    </row>
    <row r="2559" spans="1:4" x14ac:dyDescent="0.35">
      <c r="A2559" t="s">
        <v>1951</v>
      </c>
      <c r="B2559" s="8" t="s">
        <v>1953</v>
      </c>
      <c r="C2559" t="s">
        <v>6295</v>
      </c>
      <c r="D2559" s="8" t="s">
        <v>6296</v>
      </c>
    </row>
    <row r="2560" spans="1:4" x14ac:dyDescent="0.35">
      <c r="A2560" t="s">
        <v>1951</v>
      </c>
      <c r="B2560" s="8" t="s">
        <v>1953</v>
      </c>
      <c r="C2560" t="s">
        <v>6483</v>
      </c>
      <c r="D2560" s="8" t="s">
        <v>6484</v>
      </c>
    </row>
    <row r="2561" spans="1:4" x14ac:dyDescent="0.35">
      <c r="A2561" t="s">
        <v>1951</v>
      </c>
      <c r="B2561" s="8" t="s">
        <v>1953</v>
      </c>
      <c r="C2561" t="s">
        <v>6829</v>
      </c>
      <c r="D2561" s="8" t="s">
        <v>6830</v>
      </c>
    </row>
    <row r="2562" spans="1:4" x14ac:dyDescent="0.35">
      <c r="A2562" t="s">
        <v>1954</v>
      </c>
      <c r="B2562" s="8" t="s">
        <v>1955</v>
      </c>
      <c r="C2562" t="s">
        <v>6243</v>
      </c>
      <c r="D2562" s="8" t="s">
        <v>6244</v>
      </c>
    </row>
    <row r="2563" spans="1:4" x14ac:dyDescent="0.35">
      <c r="A2563" t="s">
        <v>1954</v>
      </c>
      <c r="B2563" s="8" t="s">
        <v>1955</v>
      </c>
      <c r="C2563" t="s">
        <v>6295</v>
      </c>
      <c r="D2563" s="8" t="s">
        <v>6296</v>
      </c>
    </row>
    <row r="2564" spans="1:4" x14ac:dyDescent="0.35">
      <c r="A2564" t="s">
        <v>1954</v>
      </c>
      <c r="B2564" s="8" t="s">
        <v>1955</v>
      </c>
      <c r="C2564" t="s">
        <v>6310</v>
      </c>
      <c r="D2564" s="8" t="s">
        <v>6311</v>
      </c>
    </row>
    <row r="2565" spans="1:4" x14ac:dyDescent="0.35">
      <c r="A2565" t="s">
        <v>1954</v>
      </c>
      <c r="B2565" s="8" t="s">
        <v>1955</v>
      </c>
      <c r="C2565" t="s">
        <v>6829</v>
      </c>
      <c r="D2565" s="8" t="s">
        <v>6830</v>
      </c>
    </row>
    <row r="2566" spans="1:4" x14ac:dyDescent="0.35">
      <c r="A2566" t="s">
        <v>1956</v>
      </c>
      <c r="B2566" s="8" t="s">
        <v>1957</v>
      </c>
      <c r="C2566" t="s">
        <v>6740</v>
      </c>
      <c r="D2566" s="8" t="s">
        <v>6741</v>
      </c>
    </row>
    <row r="2567" spans="1:4" x14ac:dyDescent="0.35">
      <c r="A2567" t="s">
        <v>1956</v>
      </c>
      <c r="B2567" s="8" t="s">
        <v>1957</v>
      </c>
      <c r="C2567" t="s">
        <v>6295</v>
      </c>
      <c r="D2567" s="8" t="s">
        <v>6296</v>
      </c>
    </row>
    <row r="2568" spans="1:4" x14ac:dyDescent="0.35">
      <c r="A2568" t="s">
        <v>1956</v>
      </c>
      <c r="B2568" s="8" t="s">
        <v>1957</v>
      </c>
      <c r="C2568" t="s">
        <v>6483</v>
      </c>
      <c r="D2568" s="8" t="s">
        <v>6484</v>
      </c>
    </row>
    <row r="2569" spans="1:4" x14ac:dyDescent="0.35">
      <c r="A2569" t="s">
        <v>1956</v>
      </c>
      <c r="B2569" s="8" t="s">
        <v>1957</v>
      </c>
      <c r="C2569" t="s">
        <v>6829</v>
      </c>
      <c r="D2569" s="8" t="s">
        <v>6830</v>
      </c>
    </row>
    <row r="2570" spans="1:4" x14ac:dyDescent="0.35">
      <c r="A2570" t="s">
        <v>1958</v>
      </c>
      <c r="B2570" s="8" t="s">
        <v>1959</v>
      </c>
      <c r="C2570" t="s">
        <v>6295</v>
      </c>
      <c r="D2570" s="8" t="s">
        <v>6296</v>
      </c>
    </row>
    <row r="2571" spans="1:4" x14ac:dyDescent="0.35">
      <c r="A2571" t="s">
        <v>1958</v>
      </c>
      <c r="B2571" s="8" t="s">
        <v>1959</v>
      </c>
      <c r="C2571" t="s">
        <v>6596</v>
      </c>
      <c r="D2571" s="8" t="s">
        <v>6597</v>
      </c>
    </row>
    <row r="2572" spans="1:4" x14ac:dyDescent="0.35">
      <c r="A2572" t="s">
        <v>1960</v>
      </c>
      <c r="B2572" s="8" t="s">
        <v>1961</v>
      </c>
      <c r="C2572" t="s">
        <v>6483</v>
      </c>
      <c r="D2572" s="8" t="s">
        <v>6484</v>
      </c>
    </row>
    <row r="2573" spans="1:4" x14ac:dyDescent="0.35">
      <c r="A2573" t="s">
        <v>1960</v>
      </c>
      <c r="B2573" s="8" t="s">
        <v>1961</v>
      </c>
      <c r="C2573" t="s">
        <v>6829</v>
      </c>
      <c r="D2573" s="8" t="s">
        <v>6830</v>
      </c>
    </row>
    <row r="2574" spans="1:4" x14ac:dyDescent="0.35">
      <c r="A2574" t="s">
        <v>1960</v>
      </c>
      <c r="B2574" s="8" t="s">
        <v>1961</v>
      </c>
      <c r="C2574" t="s">
        <v>6894</v>
      </c>
      <c r="D2574" s="8" t="s">
        <v>6895</v>
      </c>
    </row>
    <row r="2575" spans="1:4" x14ac:dyDescent="0.35">
      <c r="A2575" t="s">
        <v>1960</v>
      </c>
      <c r="B2575" s="8" t="s">
        <v>1961</v>
      </c>
      <c r="C2575" t="s">
        <v>6896</v>
      </c>
      <c r="D2575" s="8" t="s">
        <v>6897</v>
      </c>
    </row>
    <row r="2576" spans="1:4" x14ac:dyDescent="0.35">
      <c r="A2576" t="s">
        <v>1962</v>
      </c>
      <c r="B2576" s="8" t="s">
        <v>1963</v>
      </c>
      <c r="C2576" t="s">
        <v>6644</v>
      </c>
      <c r="D2576" s="8" t="s">
        <v>6645</v>
      </c>
    </row>
    <row r="2577" spans="1:4" x14ac:dyDescent="0.35">
      <c r="A2577" t="s">
        <v>1962</v>
      </c>
      <c r="B2577" s="8" t="s">
        <v>1963</v>
      </c>
      <c r="C2577" t="s">
        <v>6483</v>
      </c>
      <c r="D2577" s="8" t="s">
        <v>6484</v>
      </c>
    </row>
    <row r="2578" spans="1:4" x14ac:dyDescent="0.35">
      <c r="A2578" t="s">
        <v>1964</v>
      </c>
      <c r="B2578" s="8" t="s">
        <v>1965</v>
      </c>
      <c r="C2578" t="s">
        <v>6394</v>
      </c>
      <c r="D2578" s="8" t="s">
        <v>6395</v>
      </c>
    </row>
    <row r="2579" spans="1:4" x14ac:dyDescent="0.35">
      <c r="A2579" t="s">
        <v>1964</v>
      </c>
      <c r="B2579" s="8" t="s">
        <v>1965</v>
      </c>
      <c r="C2579" t="s">
        <v>6898</v>
      </c>
      <c r="D2579" s="8" t="s">
        <v>6899</v>
      </c>
    </row>
    <row r="2580" spans="1:4" x14ac:dyDescent="0.35">
      <c r="A2580" t="s">
        <v>1964</v>
      </c>
      <c r="B2580" s="8" t="s">
        <v>1965</v>
      </c>
      <c r="C2580" t="s">
        <v>6900</v>
      </c>
      <c r="D2580" s="8" t="s">
        <v>6901</v>
      </c>
    </row>
    <row r="2581" spans="1:4" x14ac:dyDescent="0.35">
      <c r="A2581" t="s">
        <v>1964</v>
      </c>
      <c r="B2581" s="8" t="s">
        <v>1965</v>
      </c>
      <c r="C2581" t="s">
        <v>6414</v>
      </c>
      <c r="D2581" s="8" t="s">
        <v>6415</v>
      </c>
    </row>
    <row r="2582" spans="1:4" x14ac:dyDescent="0.35">
      <c r="A2582" t="s">
        <v>1964</v>
      </c>
      <c r="B2582" s="8" t="s">
        <v>1965</v>
      </c>
      <c r="C2582" t="s">
        <v>6410</v>
      </c>
      <c r="D2582" s="8" t="s">
        <v>6411</v>
      </c>
    </row>
    <row r="2583" spans="1:4" x14ac:dyDescent="0.35">
      <c r="A2583" t="s">
        <v>1964</v>
      </c>
      <c r="B2583" s="8" t="s">
        <v>1965</v>
      </c>
      <c r="C2583" t="s">
        <v>6572</v>
      </c>
      <c r="D2583" s="8" t="s">
        <v>6573</v>
      </c>
    </row>
    <row r="2584" spans="1:4" x14ac:dyDescent="0.35">
      <c r="A2584" t="s">
        <v>1964</v>
      </c>
      <c r="B2584" s="8" t="s">
        <v>1965</v>
      </c>
      <c r="C2584" t="s">
        <v>6412</v>
      </c>
      <c r="D2584" s="8" t="s">
        <v>6413</v>
      </c>
    </row>
    <row r="2585" spans="1:4" x14ac:dyDescent="0.35">
      <c r="A2585" t="s">
        <v>1966</v>
      </c>
      <c r="B2585" s="8" t="s">
        <v>1967</v>
      </c>
      <c r="C2585" t="s">
        <v>6902</v>
      </c>
      <c r="D2585" s="8" t="s">
        <v>6903</v>
      </c>
    </row>
    <row r="2586" spans="1:4" x14ac:dyDescent="0.35">
      <c r="A2586" t="s">
        <v>1966</v>
      </c>
      <c r="B2586" s="8" t="s">
        <v>1967</v>
      </c>
      <c r="C2586" t="s">
        <v>6835</v>
      </c>
      <c r="D2586" s="8" t="s">
        <v>6836</v>
      </c>
    </row>
    <row r="2587" spans="1:4" x14ac:dyDescent="0.35">
      <c r="A2587" t="s">
        <v>1966</v>
      </c>
      <c r="B2587" s="8" t="s">
        <v>1967</v>
      </c>
      <c r="C2587" t="s">
        <v>6774</v>
      </c>
      <c r="D2587" s="8" t="s">
        <v>6775</v>
      </c>
    </row>
    <row r="2588" spans="1:4" x14ac:dyDescent="0.35">
      <c r="A2588" t="s">
        <v>1966</v>
      </c>
      <c r="B2588" s="8" t="s">
        <v>1967</v>
      </c>
      <c r="C2588" t="s">
        <v>6268</v>
      </c>
      <c r="D2588" s="8" t="s">
        <v>6269</v>
      </c>
    </row>
    <row r="2589" spans="1:4" x14ac:dyDescent="0.35">
      <c r="A2589" t="s">
        <v>1966</v>
      </c>
      <c r="B2589" s="8" t="s">
        <v>1967</v>
      </c>
      <c r="C2589" t="s">
        <v>6245</v>
      </c>
      <c r="D2589" s="8" t="s">
        <v>6246</v>
      </c>
    </row>
    <row r="2590" spans="1:4" x14ac:dyDescent="0.35">
      <c r="A2590" t="s">
        <v>1966</v>
      </c>
      <c r="B2590" s="8" t="s">
        <v>1967</v>
      </c>
      <c r="C2590" t="s">
        <v>6780</v>
      </c>
      <c r="D2590" s="8" t="s">
        <v>6781</v>
      </c>
    </row>
    <row r="2591" spans="1:4" x14ac:dyDescent="0.35">
      <c r="A2591" t="s">
        <v>1966</v>
      </c>
      <c r="B2591" s="8" t="s">
        <v>1967</v>
      </c>
      <c r="C2591" t="s">
        <v>6600</v>
      </c>
      <c r="D2591" s="8" t="s">
        <v>6601</v>
      </c>
    </row>
    <row r="2592" spans="1:4" x14ac:dyDescent="0.35">
      <c r="A2592" t="s">
        <v>1968</v>
      </c>
      <c r="B2592" s="8" t="s">
        <v>1969</v>
      </c>
      <c r="C2592" t="s">
        <v>6644</v>
      </c>
      <c r="D2592" s="8" t="s">
        <v>6645</v>
      </c>
    </row>
    <row r="2593" spans="1:4" x14ac:dyDescent="0.35">
      <c r="A2593" t="s">
        <v>1968</v>
      </c>
      <c r="B2593" s="8" t="s">
        <v>1969</v>
      </c>
      <c r="C2593" t="s">
        <v>6835</v>
      </c>
      <c r="D2593" s="8" t="s">
        <v>6836</v>
      </c>
    </row>
    <row r="2594" spans="1:4" x14ac:dyDescent="0.35">
      <c r="A2594" t="s">
        <v>1968</v>
      </c>
      <c r="B2594" s="8" t="s">
        <v>1969</v>
      </c>
      <c r="C2594" t="s">
        <v>6904</v>
      </c>
      <c r="D2594" s="8" t="s">
        <v>6905</v>
      </c>
    </row>
    <row r="2595" spans="1:4" x14ac:dyDescent="0.35">
      <c r="A2595" t="s">
        <v>1968</v>
      </c>
      <c r="B2595" s="8" t="s">
        <v>1969</v>
      </c>
      <c r="C2595" t="s">
        <v>6483</v>
      </c>
      <c r="D2595" s="8" t="s">
        <v>6484</v>
      </c>
    </row>
    <row r="2596" spans="1:4" x14ac:dyDescent="0.35">
      <c r="A2596" t="s">
        <v>1970</v>
      </c>
      <c r="B2596" s="8" t="s">
        <v>1971</v>
      </c>
      <c r="C2596" t="s">
        <v>6644</v>
      </c>
      <c r="D2596" s="8" t="s">
        <v>6645</v>
      </c>
    </row>
    <row r="2597" spans="1:4" x14ac:dyDescent="0.35">
      <c r="A2597" t="s">
        <v>1970</v>
      </c>
      <c r="B2597" s="8" t="s">
        <v>1971</v>
      </c>
      <c r="C2597" t="s">
        <v>6833</v>
      </c>
      <c r="D2597" s="8" t="s">
        <v>6834</v>
      </c>
    </row>
    <row r="2598" spans="1:4" x14ac:dyDescent="0.35">
      <c r="A2598" t="s">
        <v>1970</v>
      </c>
      <c r="B2598" s="8" t="s">
        <v>1971</v>
      </c>
      <c r="C2598" t="s">
        <v>6835</v>
      </c>
      <c r="D2598" s="8" t="s">
        <v>6836</v>
      </c>
    </row>
    <row r="2599" spans="1:4" x14ac:dyDescent="0.35">
      <c r="A2599" t="s">
        <v>1970</v>
      </c>
      <c r="B2599" s="8" t="s">
        <v>1971</v>
      </c>
      <c r="C2599" t="s">
        <v>6588</v>
      </c>
      <c r="D2599" s="8" t="s">
        <v>6589</v>
      </c>
    </row>
    <row r="2600" spans="1:4" x14ac:dyDescent="0.35">
      <c r="A2600" t="s">
        <v>1970</v>
      </c>
      <c r="B2600" s="8" t="s">
        <v>1971</v>
      </c>
      <c r="C2600" t="s">
        <v>6194</v>
      </c>
      <c r="D2600" s="8" t="s">
        <v>6195</v>
      </c>
    </row>
    <row r="2601" spans="1:4" x14ac:dyDescent="0.35">
      <c r="A2601" t="s">
        <v>1970</v>
      </c>
      <c r="B2601" s="8" t="s">
        <v>1971</v>
      </c>
      <c r="C2601" t="s">
        <v>6578</v>
      </c>
      <c r="D2601" s="8" t="s">
        <v>6579</v>
      </c>
    </row>
    <row r="2602" spans="1:4" x14ac:dyDescent="0.35">
      <c r="A2602" t="s">
        <v>1970</v>
      </c>
      <c r="B2602" s="8" t="s">
        <v>1971</v>
      </c>
      <c r="C2602" t="s">
        <v>6125</v>
      </c>
      <c r="D2602" s="8" t="s">
        <v>6126</v>
      </c>
    </row>
    <row r="2603" spans="1:4" x14ac:dyDescent="0.35">
      <c r="A2603" t="s">
        <v>1970</v>
      </c>
      <c r="B2603" s="8" t="s">
        <v>1971</v>
      </c>
      <c r="C2603" t="s">
        <v>6768</v>
      </c>
      <c r="D2603" s="8" t="s">
        <v>6769</v>
      </c>
    </row>
    <row r="2604" spans="1:4" x14ac:dyDescent="0.35">
      <c r="A2604" t="s">
        <v>1970</v>
      </c>
      <c r="B2604" s="8" t="s">
        <v>1971</v>
      </c>
      <c r="C2604" t="s">
        <v>6770</v>
      </c>
      <c r="D2604" s="8" t="s">
        <v>6771</v>
      </c>
    </row>
    <row r="2605" spans="1:4" x14ac:dyDescent="0.35">
      <c r="A2605" t="s">
        <v>1972</v>
      </c>
      <c r="B2605" s="8" t="s">
        <v>1974</v>
      </c>
      <c r="C2605" t="s">
        <v>6906</v>
      </c>
      <c r="D2605" s="8" t="s">
        <v>6907</v>
      </c>
    </row>
    <row r="2606" spans="1:4" x14ac:dyDescent="0.35">
      <c r="A2606" t="s">
        <v>1972</v>
      </c>
      <c r="B2606" s="8" t="s">
        <v>1974</v>
      </c>
      <c r="C2606" t="s">
        <v>6286</v>
      </c>
      <c r="D2606" s="8" t="s">
        <v>6287</v>
      </c>
    </row>
    <row r="2607" spans="1:4" x14ac:dyDescent="0.35">
      <c r="A2607" t="s">
        <v>1975</v>
      </c>
      <c r="B2607" s="8" t="s">
        <v>1976</v>
      </c>
      <c r="C2607" t="s">
        <v>6295</v>
      </c>
      <c r="D2607" s="8" t="s">
        <v>6296</v>
      </c>
    </row>
    <row r="2608" spans="1:4" x14ac:dyDescent="0.35">
      <c r="A2608" t="s">
        <v>1975</v>
      </c>
      <c r="B2608" s="8" t="s">
        <v>1976</v>
      </c>
      <c r="C2608" t="s">
        <v>6268</v>
      </c>
      <c r="D2608" s="8" t="s">
        <v>6269</v>
      </c>
    </row>
    <row r="2609" spans="1:4" x14ac:dyDescent="0.35">
      <c r="A2609" t="s">
        <v>1975</v>
      </c>
      <c r="B2609" s="8" t="s">
        <v>1976</v>
      </c>
      <c r="C2609" t="s">
        <v>6286</v>
      </c>
      <c r="D2609" s="8" t="s">
        <v>6287</v>
      </c>
    </row>
    <row r="2610" spans="1:4" x14ac:dyDescent="0.35">
      <c r="A2610" t="s">
        <v>1975</v>
      </c>
      <c r="B2610" s="8" t="s">
        <v>1976</v>
      </c>
      <c r="C2610" t="s">
        <v>6596</v>
      </c>
      <c r="D2610" s="8" t="s">
        <v>6597</v>
      </c>
    </row>
    <row r="2611" spans="1:4" x14ac:dyDescent="0.35">
      <c r="A2611" t="s">
        <v>1977</v>
      </c>
      <c r="B2611" s="8" t="s">
        <v>1978</v>
      </c>
      <c r="C2611" t="s">
        <v>6908</v>
      </c>
      <c r="D2611" s="8" t="s">
        <v>6909</v>
      </c>
    </row>
    <row r="2612" spans="1:4" x14ac:dyDescent="0.35">
      <c r="A2612" t="s">
        <v>1977</v>
      </c>
      <c r="B2612" s="8" t="s">
        <v>1978</v>
      </c>
      <c r="C2612" t="s">
        <v>6295</v>
      </c>
      <c r="D2612" s="8" t="s">
        <v>6296</v>
      </c>
    </row>
    <row r="2613" spans="1:4" x14ac:dyDescent="0.35">
      <c r="A2613" t="s">
        <v>1977</v>
      </c>
      <c r="B2613" s="8" t="s">
        <v>1978</v>
      </c>
      <c r="C2613" t="s">
        <v>6910</v>
      </c>
      <c r="D2613" s="8" t="s">
        <v>6911</v>
      </c>
    </row>
    <row r="2614" spans="1:4" x14ac:dyDescent="0.35">
      <c r="A2614" t="s">
        <v>1977</v>
      </c>
      <c r="B2614" s="8" t="s">
        <v>1978</v>
      </c>
      <c r="C2614" t="s">
        <v>6310</v>
      </c>
      <c r="D2614" s="8" t="s">
        <v>6311</v>
      </c>
    </row>
    <row r="2615" spans="1:4" x14ac:dyDescent="0.35">
      <c r="A2615" t="s">
        <v>1977</v>
      </c>
      <c r="B2615" s="8" t="s">
        <v>1978</v>
      </c>
      <c r="C2615" t="s">
        <v>6596</v>
      </c>
      <c r="D2615" s="8" t="s">
        <v>6597</v>
      </c>
    </row>
    <row r="2616" spans="1:4" x14ac:dyDescent="0.35">
      <c r="A2616" t="s">
        <v>1979</v>
      </c>
      <c r="B2616" s="8" t="s">
        <v>1981</v>
      </c>
      <c r="C2616" t="s">
        <v>6295</v>
      </c>
      <c r="D2616" s="8" t="s">
        <v>6296</v>
      </c>
    </row>
    <row r="2617" spans="1:4" x14ac:dyDescent="0.35">
      <c r="A2617" t="s">
        <v>1979</v>
      </c>
      <c r="B2617" s="8" t="s">
        <v>1981</v>
      </c>
      <c r="C2617" t="s">
        <v>6910</v>
      </c>
      <c r="D2617" s="8" t="s">
        <v>6911</v>
      </c>
    </row>
    <row r="2618" spans="1:4" x14ac:dyDescent="0.35">
      <c r="A2618" t="s">
        <v>1979</v>
      </c>
      <c r="B2618" s="8" t="s">
        <v>1981</v>
      </c>
      <c r="C2618" t="s">
        <v>6310</v>
      </c>
      <c r="D2618" s="8" t="s">
        <v>6311</v>
      </c>
    </row>
    <row r="2619" spans="1:4" x14ac:dyDescent="0.35">
      <c r="A2619" t="s">
        <v>1979</v>
      </c>
      <c r="B2619" s="8" t="s">
        <v>1981</v>
      </c>
      <c r="C2619" t="s">
        <v>6596</v>
      </c>
      <c r="D2619" s="8" t="s">
        <v>6597</v>
      </c>
    </row>
    <row r="2620" spans="1:4" x14ac:dyDescent="0.35">
      <c r="A2620" t="s">
        <v>6912</v>
      </c>
      <c r="B2620" s="8" t="s">
        <v>1982</v>
      </c>
      <c r="C2620" t="s">
        <v>6908</v>
      </c>
      <c r="D2620" s="8" t="s">
        <v>6909</v>
      </c>
    </row>
    <row r="2621" spans="1:4" x14ac:dyDescent="0.35">
      <c r="A2621" t="s">
        <v>6912</v>
      </c>
      <c r="B2621" s="8" t="s">
        <v>1982</v>
      </c>
      <c r="C2621" t="s">
        <v>6295</v>
      </c>
      <c r="D2621" s="8" t="s">
        <v>6296</v>
      </c>
    </row>
    <row r="2622" spans="1:4" x14ac:dyDescent="0.35">
      <c r="A2622" t="s">
        <v>6912</v>
      </c>
      <c r="B2622" s="8" t="s">
        <v>1982</v>
      </c>
      <c r="C2622" t="s">
        <v>6910</v>
      </c>
      <c r="D2622" s="8" t="s">
        <v>6911</v>
      </c>
    </row>
    <row r="2623" spans="1:4" x14ac:dyDescent="0.35">
      <c r="A2623" t="s">
        <v>6912</v>
      </c>
      <c r="B2623" s="8" t="s">
        <v>1982</v>
      </c>
      <c r="C2623" t="s">
        <v>6310</v>
      </c>
      <c r="D2623" s="8" t="s">
        <v>6311</v>
      </c>
    </row>
    <row r="2624" spans="1:4" x14ac:dyDescent="0.35">
      <c r="A2624" t="s">
        <v>6912</v>
      </c>
      <c r="B2624" s="8" t="s">
        <v>1982</v>
      </c>
      <c r="C2624" t="s">
        <v>6596</v>
      </c>
      <c r="D2624" s="8" t="s">
        <v>6597</v>
      </c>
    </row>
    <row r="2625" spans="1:4" x14ac:dyDescent="0.35">
      <c r="A2625" t="s">
        <v>1983</v>
      </c>
      <c r="B2625" s="8" t="s">
        <v>1984</v>
      </c>
      <c r="C2625" t="s">
        <v>6268</v>
      </c>
      <c r="D2625" s="8" t="s">
        <v>6269</v>
      </c>
    </row>
    <row r="2626" spans="1:4" x14ac:dyDescent="0.35">
      <c r="A2626" t="s">
        <v>1983</v>
      </c>
      <c r="B2626" s="8" t="s">
        <v>1984</v>
      </c>
      <c r="C2626" t="s">
        <v>6310</v>
      </c>
      <c r="D2626" s="8" t="s">
        <v>6311</v>
      </c>
    </row>
    <row r="2627" spans="1:4" x14ac:dyDescent="0.35">
      <c r="A2627" t="s">
        <v>1985</v>
      </c>
      <c r="B2627" s="8" t="s">
        <v>1987</v>
      </c>
      <c r="C2627" t="s">
        <v>6644</v>
      </c>
      <c r="D2627" s="8" t="s">
        <v>6645</v>
      </c>
    </row>
    <row r="2628" spans="1:4" x14ac:dyDescent="0.35">
      <c r="A2628" t="s">
        <v>1985</v>
      </c>
      <c r="B2628" s="8" t="s">
        <v>1987</v>
      </c>
      <c r="C2628" t="s">
        <v>6483</v>
      </c>
      <c r="D2628" s="8" t="s">
        <v>6484</v>
      </c>
    </row>
    <row r="2629" spans="1:4" x14ac:dyDescent="0.35">
      <c r="A2629" t="s">
        <v>6913</v>
      </c>
      <c r="B2629" s="8" t="s">
        <v>1988</v>
      </c>
      <c r="C2629" t="s">
        <v>6780</v>
      </c>
      <c r="D2629" s="8" t="s">
        <v>6781</v>
      </c>
    </row>
    <row r="2630" spans="1:4" x14ac:dyDescent="0.35">
      <c r="A2630" t="s">
        <v>6913</v>
      </c>
      <c r="B2630" s="8" t="s">
        <v>1988</v>
      </c>
      <c r="C2630" t="s">
        <v>6914</v>
      </c>
      <c r="D2630" s="8" t="s">
        <v>6915</v>
      </c>
    </row>
    <row r="2631" spans="1:4" x14ac:dyDescent="0.35">
      <c r="A2631" t="s">
        <v>6913</v>
      </c>
      <c r="B2631" s="8" t="s">
        <v>1988</v>
      </c>
      <c r="C2631" t="s">
        <v>6916</v>
      </c>
      <c r="D2631" s="8" t="s">
        <v>6917</v>
      </c>
    </row>
    <row r="2632" spans="1:4" x14ac:dyDescent="0.35">
      <c r="A2632" t="s">
        <v>6913</v>
      </c>
      <c r="B2632" s="8" t="s">
        <v>1988</v>
      </c>
      <c r="C2632" t="s">
        <v>6483</v>
      </c>
      <c r="D2632" s="8" t="s">
        <v>6484</v>
      </c>
    </row>
    <row r="2633" spans="1:4" x14ac:dyDescent="0.35">
      <c r="A2633" t="s">
        <v>6913</v>
      </c>
      <c r="B2633" s="8" t="s">
        <v>1988</v>
      </c>
      <c r="C2633" t="s">
        <v>6560</v>
      </c>
      <c r="D2633" s="8" t="s">
        <v>6561</v>
      </c>
    </row>
    <row r="2634" spans="1:4" x14ac:dyDescent="0.35">
      <c r="A2634" t="s">
        <v>6918</v>
      </c>
      <c r="B2634" s="8" t="s">
        <v>1989</v>
      </c>
      <c r="C2634" t="s">
        <v>6644</v>
      </c>
      <c r="D2634" s="8" t="s">
        <v>6645</v>
      </c>
    </row>
    <row r="2635" spans="1:4" x14ac:dyDescent="0.35">
      <c r="A2635" t="s">
        <v>6918</v>
      </c>
      <c r="B2635" s="8" t="s">
        <v>1989</v>
      </c>
      <c r="C2635" t="s">
        <v>6483</v>
      </c>
      <c r="D2635" s="8" t="s">
        <v>6484</v>
      </c>
    </row>
    <row r="2636" spans="1:4" x14ac:dyDescent="0.35">
      <c r="A2636" t="s">
        <v>1990</v>
      </c>
      <c r="B2636" s="8" t="s">
        <v>1991</v>
      </c>
      <c r="C2636" t="s">
        <v>6268</v>
      </c>
      <c r="D2636" s="8" t="s">
        <v>6269</v>
      </c>
    </row>
    <row r="2637" spans="1:4" x14ac:dyDescent="0.35">
      <c r="A2637" t="s">
        <v>1990</v>
      </c>
      <c r="B2637" s="8" t="s">
        <v>1991</v>
      </c>
      <c r="C2637" t="s">
        <v>6310</v>
      </c>
      <c r="D2637" s="8" t="s">
        <v>6311</v>
      </c>
    </row>
    <row r="2638" spans="1:4" x14ac:dyDescent="0.35">
      <c r="A2638" t="s">
        <v>1990</v>
      </c>
      <c r="B2638" s="8" t="s">
        <v>1991</v>
      </c>
      <c r="C2638" t="s">
        <v>6483</v>
      </c>
      <c r="D2638" s="8" t="s">
        <v>6484</v>
      </c>
    </row>
    <row r="2639" spans="1:4" x14ac:dyDescent="0.35">
      <c r="A2639" t="s">
        <v>1992</v>
      </c>
      <c r="B2639" s="8" t="s">
        <v>1993</v>
      </c>
      <c r="C2639" t="s">
        <v>6644</v>
      </c>
      <c r="D2639" s="8" t="s">
        <v>6645</v>
      </c>
    </row>
    <row r="2640" spans="1:4" x14ac:dyDescent="0.35">
      <c r="A2640" t="s">
        <v>1992</v>
      </c>
      <c r="B2640" s="8" t="s">
        <v>1993</v>
      </c>
      <c r="C2640" t="s">
        <v>6833</v>
      </c>
      <c r="D2640" s="8" t="s">
        <v>6834</v>
      </c>
    </row>
    <row r="2641" spans="1:4" x14ac:dyDescent="0.35">
      <c r="A2641" t="s">
        <v>1992</v>
      </c>
      <c r="B2641" s="8" t="s">
        <v>1993</v>
      </c>
      <c r="C2641" t="s">
        <v>6908</v>
      </c>
      <c r="D2641" s="8" t="s">
        <v>6909</v>
      </c>
    </row>
    <row r="2642" spans="1:4" x14ac:dyDescent="0.35">
      <c r="A2642" t="s">
        <v>1992</v>
      </c>
      <c r="B2642" s="8" t="s">
        <v>1993</v>
      </c>
      <c r="C2642" t="s">
        <v>6268</v>
      </c>
      <c r="D2642" s="8" t="s">
        <v>6269</v>
      </c>
    </row>
    <row r="2643" spans="1:4" x14ac:dyDescent="0.35">
      <c r="A2643" t="s">
        <v>1992</v>
      </c>
      <c r="B2643" s="8" t="s">
        <v>1993</v>
      </c>
      <c r="C2643" t="s">
        <v>6588</v>
      </c>
      <c r="D2643" s="8" t="s">
        <v>6589</v>
      </c>
    </row>
    <row r="2644" spans="1:4" x14ac:dyDescent="0.35">
      <c r="A2644" t="s">
        <v>1992</v>
      </c>
      <c r="B2644" s="8" t="s">
        <v>1993</v>
      </c>
      <c r="C2644" t="s">
        <v>6286</v>
      </c>
      <c r="D2644" s="8" t="s">
        <v>6287</v>
      </c>
    </row>
    <row r="2645" spans="1:4" x14ac:dyDescent="0.35">
      <c r="A2645" t="s">
        <v>1994</v>
      </c>
      <c r="B2645" s="8" t="s">
        <v>1995</v>
      </c>
      <c r="C2645" t="s">
        <v>6919</v>
      </c>
      <c r="D2645" s="8" t="s">
        <v>6920</v>
      </c>
    </row>
    <row r="2646" spans="1:4" x14ac:dyDescent="0.35">
      <c r="A2646" t="s">
        <v>1994</v>
      </c>
      <c r="B2646" s="8" t="s">
        <v>1995</v>
      </c>
      <c r="C2646" t="s">
        <v>6802</v>
      </c>
      <c r="D2646" s="8" t="s">
        <v>6803</v>
      </c>
    </row>
    <row r="2647" spans="1:4" x14ac:dyDescent="0.35">
      <c r="A2647" t="s">
        <v>1994</v>
      </c>
      <c r="B2647" s="8" t="s">
        <v>1995</v>
      </c>
      <c r="C2647" t="s">
        <v>6572</v>
      </c>
      <c r="D2647" s="8" t="s">
        <v>6573</v>
      </c>
    </row>
    <row r="2648" spans="1:4" x14ac:dyDescent="0.35">
      <c r="A2648" t="s">
        <v>1994</v>
      </c>
      <c r="B2648" s="8" t="s">
        <v>1995</v>
      </c>
      <c r="C2648" t="s">
        <v>6806</v>
      </c>
      <c r="D2648" s="8" t="s">
        <v>6807</v>
      </c>
    </row>
    <row r="2649" spans="1:4" x14ac:dyDescent="0.35">
      <c r="A2649" t="s">
        <v>1996</v>
      </c>
      <c r="B2649" s="8" t="s">
        <v>1997</v>
      </c>
      <c r="C2649" t="s">
        <v>6295</v>
      </c>
      <c r="D2649" s="8" t="s">
        <v>6296</v>
      </c>
    </row>
    <row r="2650" spans="1:4" x14ac:dyDescent="0.35">
      <c r="A2650" t="s">
        <v>1996</v>
      </c>
      <c r="B2650" s="8" t="s">
        <v>1997</v>
      </c>
      <c r="C2650" t="s">
        <v>6483</v>
      </c>
      <c r="D2650" s="8" t="s">
        <v>6484</v>
      </c>
    </row>
    <row r="2651" spans="1:4" x14ac:dyDescent="0.35">
      <c r="A2651" t="s">
        <v>1998</v>
      </c>
      <c r="B2651" s="8" t="s">
        <v>1999</v>
      </c>
      <c r="C2651" t="s">
        <v>6644</v>
      </c>
      <c r="D2651" s="8" t="s">
        <v>6645</v>
      </c>
    </row>
    <row r="2652" spans="1:4" x14ac:dyDescent="0.35">
      <c r="A2652" t="s">
        <v>1998</v>
      </c>
      <c r="B2652" s="8" t="s">
        <v>1999</v>
      </c>
      <c r="C2652" t="s">
        <v>6423</v>
      </c>
      <c r="D2652" s="8" t="s">
        <v>6424</v>
      </c>
    </row>
    <row r="2653" spans="1:4" x14ac:dyDescent="0.35">
      <c r="A2653" t="s">
        <v>1998</v>
      </c>
      <c r="B2653" s="8" t="s">
        <v>1999</v>
      </c>
      <c r="C2653" t="s">
        <v>6410</v>
      </c>
      <c r="D2653" s="8" t="s">
        <v>6411</v>
      </c>
    </row>
    <row r="2654" spans="1:4" x14ac:dyDescent="0.35">
      <c r="A2654" t="s">
        <v>1998</v>
      </c>
      <c r="B2654" s="8" t="s">
        <v>1999</v>
      </c>
      <c r="C2654" t="s">
        <v>6416</v>
      </c>
      <c r="D2654" s="8" t="s">
        <v>6417</v>
      </c>
    </row>
    <row r="2655" spans="1:4" x14ac:dyDescent="0.35">
      <c r="A2655" t="s">
        <v>1998</v>
      </c>
      <c r="B2655" s="8" t="s">
        <v>1999</v>
      </c>
      <c r="C2655" t="s">
        <v>6855</v>
      </c>
      <c r="D2655" s="8" t="s">
        <v>6856</v>
      </c>
    </row>
    <row r="2656" spans="1:4" x14ac:dyDescent="0.35">
      <c r="A2656" t="s">
        <v>1998</v>
      </c>
      <c r="B2656" s="8" t="s">
        <v>1999</v>
      </c>
      <c r="C2656" t="s">
        <v>6412</v>
      </c>
      <c r="D2656" s="8" t="s">
        <v>6413</v>
      </c>
    </row>
    <row r="2657" spans="1:4" x14ac:dyDescent="0.35">
      <c r="A2657" t="s">
        <v>1998</v>
      </c>
      <c r="B2657" s="8" t="s">
        <v>1999</v>
      </c>
      <c r="C2657" t="s">
        <v>6483</v>
      </c>
      <c r="D2657" s="8" t="s">
        <v>6484</v>
      </c>
    </row>
    <row r="2658" spans="1:4" x14ac:dyDescent="0.35">
      <c r="A2658" t="s">
        <v>2000</v>
      </c>
      <c r="B2658" s="8" t="s">
        <v>2001</v>
      </c>
      <c r="C2658" t="s">
        <v>6394</v>
      </c>
      <c r="D2658" s="8" t="s">
        <v>6395</v>
      </c>
    </row>
    <row r="2659" spans="1:4" x14ac:dyDescent="0.35">
      <c r="A2659" t="s">
        <v>2000</v>
      </c>
      <c r="B2659" s="8" t="s">
        <v>2001</v>
      </c>
      <c r="C2659" t="s">
        <v>6398</v>
      </c>
      <c r="D2659" s="8" t="s">
        <v>6399</v>
      </c>
    </row>
    <row r="2660" spans="1:4" x14ac:dyDescent="0.35">
      <c r="A2660" t="s">
        <v>2000</v>
      </c>
      <c r="B2660" s="8" t="s">
        <v>2001</v>
      </c>
      <c r="C2660" t="s">
        <v>6348</v>
      </c>
      <c r="D2660" s="8" t="s">
        <v>6349</v>
      </c>
    </row>
    <row r="2661" spans="1:4" x14ac:dyDescent="0.35">
      <c r="A2661" t="s">
        <v>2000</v>
      </c>
      <c r="B2661" s="8" t="s">
        <v>2001</v>
      </c>
      <c r="C2661" t="s">
        <v>6410</v>
      </c>
      <c r="D2661" s="8" t="s">
        <v>6411</v>
      </c>
    </row>
    <row r="2662" spans="1:4" x14ac:dyDescent="0.35">
      <c r="A2662" t="s">
        <v>2000</v>
      </c>
      <c r="B2662" s="8" t="s">
        <v>2001</v>
      </c>
      <c r="C2662" t="s">
        <v>6412</v>
      </c>
      <c r="D2662" s="8" t="s">
        <v>6413</v>
      </c>
    </row>
    <row r="2663" spans="1:4" x14ac:dyDescent="0.35">
      <c r="A2663" t="s">
        <v>2002</v>
      </c>
      <c r="B2663" s="8" t="s">
        <v>2003</v>
      </c>
      <c r="C2663" t="s">
        <v>6644</v>
      </c>
      <c r="D2663" s="8" t="s">
        <v>6645</v>
      </c>
    </row>
    <row r="2664" spans="1:4" x14ac:dyDescent="0.35">
      <c r="A2664" t="s">
        <v>2002</v>
      </c>
      <c r="B2664" s="8" t="s">
        <v>2003</v>
      </c>
      <c r="C2664" t="s">
        <v>6273</v>
      </c>
      <c r="D2664" s="8" t="s">
        <v>6274</v>
      </c>
    </row>
    <row r="2665" spans="1:4" x14ac:dyDescent="0.35">
      <c r="A2665" t="s">
        <v>2002</v>
      </c>
      <c r="B2665" s="8" t="s">
        <v>2003</v>
      </c>
      <c r="C2665" t="s">
        <v>6833</v>
      </c>
      <c r="D2665" s="8" t="s">
        <v>6834</v>
      </c>
    </row>
    <row r="2666" spans="1:4" x14ac:dyDescent="0.35">
      <c r="A2666" t="s">
        <v>2002</v>
      </c>
      <c r="B2666" s="8" t="s">
        <v>2003</v>
      </c>
      <c r="C2666" t="s">
        <v>6237</v>
      </c>
      <c r="D2666" s="8" t="s">
        <v>6238</v>
      </c>
    </row>
    <row r="2667" spans="1:4" x14ac:dyDescent="0.35">
      <c r="A2667" t="s">
        <v>2002</v>
      </c>
      <c r="B2667" s="8" t="s">
        <v>2003</v>
      </c>
      <c r="C2667" t="s">
        <v>6921</v>
      </c>
      <c r="D2667" s="8" t="s">
        <v>6922</v>
      </c>
    </row>
    <row r="2668" spans="1:4" x14ac:dyDescent="0.35">
      <c r="A2668" t="s">
        <v>2002</v>
      </c>
      <c r="B2668" s="8" t="s">
        <v>2003</v>
      </c>
      <c r="C2668" t="s">
        <v>6904</v>
      </c>
      <c r="D2668" s="8" t="s">
        <v>6905</v>
      </c>
    </row>
    <row r="2669" spans="1:4" x14ac:dyDescent="0.35">
      <c r="A2669" t="s">
        <v>2002</v>
      </c>
      <c r="B2669" s="8" t="s">
        <v>2003</v>
      </c>
      <c r="C2669" t="s">
        <v>6483</v>
      </c>
      <c r="D2669" s="8" t="s">
        <v>6484</v>
      </c>
    </row>
    <row r="2670" spans="1:4" x14ac:dyDescent="0.35">
      <c r="A2670" t="s">
        <v>2004</v>
      </c>
      <c r="B2670" s="8" t="s">
        <v>2005</v>
      </c>
      <c r="C2670" t="s">
        <v>6644</v>
      </c>
      <c r="D2670" s="8" t="s">
        <v>6645</v>
      </c>
    </row>
    <row r="2671" spans="1:4" x14ac:dyDescent="0.35">
      <c r="A2671" t="s">
        <v>2004</v>
      </c>
      <c r="B2671" s="8" t="s">
        <v>2005</v>
      </c>
      <c r="C2671" t="s">
        <v>6148</v>
      </c>
      <c r="D2671" s="8" t="s">
        <v>6149</v>
      </c>
    </row>
    <row r="2672" spans="1:4" x14ac:dyDescent="0.35">
      <c r="A2672" t="s">
        <v>2004</v>
      </c>
      <c r="B2672" s="8" t="s">
        <v>2005</v>
      </c>
      <c r="C2672" t="s">
        <v>6237</v>
      </c>
      <c r="D2672" s="8" t="s">
        <v>6238</v>
      </c>
    </row>
    <row r="2673" spans="1:4" x14ac:dyDescent="0.35">
      <c r="A2673" t="s">
        <v>2004</v>
      </c>
      <c r="B2673" s="8" t="s">
        <v>2005</v>
      </c>
      <c r="C2673" t="s">
        <v>6284</v>
      </c>
      <c r="D2673" s="8" t="s">
        <v>6285</v>
      </c>
    </row>
    <row r="2674" spans="1:4" x14ac:dyDescent="0.35">
      <c r="A2674" t="s">
        <v>2004</v>
      </c>
      <c r="B2674" s="8" t="s">
        <v>2005</v>
      </c>
      <c r="C2674" t="s">
        <v>6268</v>
      </c>
      <c r="D2674" s="8" t="s">
        <v>6269</v>
      </c>
    </row>
    <row r="2675" spans="1:4" x14ac:dyDescent="0.35">
      <c r="A2675" t="s">
        <v>2004</v>
      </c>
      <c r="B2675" s="8" t="s">
        <v>2005</v>
      </c>
      <c r="C2675" t="s">
        <v>6241</v>
      </c>
      <c r="D2675" s="8" t="s">
        <v>6242</v>
      </c>
    </row>
    <row r="2676" spans="1:4" x14ac:dyDescent="0.35">
      <c r="A2676" t="s">
        <v>2004</v>
      </c>
      <c r="B2676" s="8" t="s">
        <v>2005</v>
      </c>
      <c r="C2676" t="s">
        <v>6239</v>
      </c>
      <c r="D2676" s="8" t="s">
        <v>6240</v>
      </c>
    </row>
    <row r="2677" spans="1:4" x14ac:dyDescent="0.35">
      <c r="A2677" t="s">
        <v>2004</v>
      </c>
      <c r="B2677" s="8" t="s">
        <v>2005</v>
      </c>
      <c r="C2677" t="s">
        <v>6483</v>
      </c>
      <c r="D2677" s="8" t="s">
        <v>6484</v>
      </c>
    </row>
    <row r="2678" spans="1:4" x14ac:dyDescent="0.35">
      <c r="A2678" t="s">
        <v>6923</v>
      </c>
      <c r="B2678" s="8" t="s">
        <v>2006</v>
      </c>
      <c r="C2678" t="s">
        <v>6117</v>
      </c>
      <c r="D2678" s="8" t="s">
        <v>6118</v>
      </c>
    </row>
    <row r="2679" spans="1:4" x14ac:dyDescent="0.35">
      <c r="A2679" t="s">
        <v>6923</v>
      </c>
      <c r="B2679" s="8" t="s">
        <v>2006</v>
      </c>
      <c r="C2679" t="s">
        <v>6644</v>
      </c>
      <c r="D2679" s="8" t="s">
        <v>6645</v>
      </c>
    </row>
    <row r="2680" spans="1:4" x14ac:dyDescent="0.35">
      <c r="A2680" t="s">
        <v>6923</v>
      </c>
      <c r="B2680" s="8" t="s">
        <v>2006</v>
      </c>
      <c r="C2680" t="s">
        <v>6107</v>
      </c>
      <c r="D2680" s="8" t="s">
        <v>6108</v>
      </c>
    </row>
    <row r="2681" spans="1:4" x14ac:dyDescent="0.35">
      <c r="A2681" t="s">
        <v>6923</v>
      </c>
      <c r="B2681" s="8" t="s">
        <v>2006</v>
      </c>
      <c r="C2681" t="s">
        <v>6268</v>
      </c>
      <c r="D2681" s="8" t="s">
        <v>6269</v>
      </c>
    </row>
    <row r="2682" spans="1:4" x14ac:dyDescent="0.35">
      <c r="A2682" t="s">
        <v>6923</v>
      </c>
      <c r="B2682" s="8" t="s">
        <v>2006</v>
      </c>
      <c r="C2682" t="s">
        <v>6483</v>
      </c>
      <c r="D2682" s="8" t="s">
        <v>6484</v>
      </c>
    </row>
    <row r="2683" spans="1:4" x14ac:dyDescent="0.35">
      <c r="A2683" t="s">
        <v>6923</v>
      </c>
      <c r="B2683" s="8" t="s">
        <v>2006</v>
      </c>
      <c r="C2683" t="s">
        <v>6161</v>
      </c>
      <c r="D2683" s="8" t="s">
        <v>6162</v>
      </c>
    </row>
    <row r="2684" spans="1:4" x14ac:dyDescent="0.35">
      <c r="A2684" t="s">
        <v>6923</v>
      </c>
      <c r="B2684" s="8" t="s">
        <v>2006</v>
      </c>
      <c r="C2684" t="s">
        <v>6159</v>
      </c>
      <c r="D2684" s="8" t="s">
        <v>6160</v>
      </c>
    </row>
    <row r="2685" spans="1:4" x14ac:dyDescent="0.35">
      <c r="A2685" t="s">
        <v>6924</v>
      </c>
      <c r="B2685" s="8" t="s">
        <v>2007</v>
      </c>
      <c r="C2685" t="s">
        <v>6644</v>
      </c>
      <c r="D2685" s="8" t="s">
        <v>6645</v>
      </c>
    </row>
    <row r="2686" spans="1:4" x14ac:dyDescent="0.35">
      <c r="A2686" t="s">
        <v>6924</v>
      </c>
      <c r="B2686" s="8" t="s">
        <v>2007</v>
      </c>
      <c r="C2686" t="s">
        <v>6925</v>
      </c>
      <c r="D2686" s="8" t="s">
        <v>6926</v>
      </c>
    </row>
    <row r="2687" spans="1:4" x14ac:dyDescent="0.35">
      <c r="A2687" t="s">
        <v>6924</v>
      </c>
      <c r="B2687" s="8" t="s">
        <v>2007</v>
      </c>
      <c r="C2687" t="s">
        <v>6927</v>
      </c>
      <c r="D2687" s="8" t="s">
        <v>6928</v>
      </c>
    </row>
    <row r="2688" spans="1:4" x14ac:dyDescent="0.35">
      <c r="A2688" t="s">
        <v>6924</v>
      </c>
      <c r="B2688" s="8" t="s">
        <v>2007</v>
      </c>
      <c r="C2688" t="s">
        <v>6590</v>
      </c>
      <c r="D2688" s="8" t="s">
        <v>6591</v>
      </c>
    </row>
    <row r="2689" spans="1:4" x14ac:dyDescent="0.35">
      <c r="A2689" t="s">
        <v>6929</v>
      </c>
      <c r="B2689" s="8" t="s">
        <v>2008</v>
      </c>
      <c r="C2689" t="s">
        <v>6310</v>
      </c>
      <c r="D2689" s="8" t="s">
        <v>6311</v>
      </c>
    </row>
    <row r="2690" spans="1:4" x14ac:dyDescent="0.35">
      <c r="A2690" t="s">
        <v>6929</v>
      </c>
      <c r="B2690" s="8" t="s">
        <v>2008</v>
      </c>
      <c r="C2690" t="s">
        <v>6574</v>
      </c>
      <c r="D2690" s="8" t="s">
        <v>6575</v>
      </c>
    </row>
    <row r="2691" spans="1:4" x14ac:dyDescent="0.35">
      <c r="A2691" t="s">
        <v>6929</v>
      </c>
      <c r="B2691" s="8" t="s">
        <v>2008</v>
      </c>
      <c r="C2691" t="s">
        <v>6514</v>
      </c>
      <c r="D2691" s="8" t="s">
        <v>6515</v>
      </c>
    </row>
    <row r="2692" spans="1:4" x14ac:dyDescent="0.35">
      <c r="A2692" t="s">
        <v>6930</v>
      </c>
      <c r="B2692" s="8" t="s">
        <v>2009</v>
      </c>
      <c r="C2692" t="s">
        <v>6284</v>
      </c>
      <c r="D2692" s="8" t="s">
        <v>6285</v>
      </c>
    </row>
    <row r="2693" spans="1:4" x14ac:dyDescent="0.35">
      <c r="A2693" t="s">
        <v>6930</v>
      </c>
      <c r="B2693" s="8" t="s">
        <v>2009</v>
      </c>
      <c r="C2693" t="s">
        <v>6280</v>
      </c>
      <c r="D2693" s="8" t="s">
        <v>6281</v>
      </c>
    </row>
    <row r="2694" spans="1:4" x14ac:dyDescent="0.35">
      <c r="A2694" t="s">
        <v>6930</v>
      </c>
      <c r="B2694" s="8" t="s">
        <v>2009</v>
      </c>
      <c r="C2694" t="s">
        <v>6291</v>
      </c>
      <c r="D2694" s="8" t="s">
        <v>6292</v>
      </c>
    </row>
    <row r="2695" spans="1:4" x14ac:dyDescent="0.35">
      <c r="A2695" t="s">
        <v>6931</v>
      </c>
      <c r="B2695" s="8" t="s">
        <v>2010</v>
      </c>
      <c r="C2695" t="s">
        <v>6644</v>
      </c>
      <c r="D2695" s="8" t="s">
        <v>6645</v>
      </c>
    </row>
    <row r="2696" spans="1:4" x14ac:dyDescent="0.35">
      <c r="A2696" t="s">
        <v>6931</v>
      </c>
      <c r="B2696" s="8" t="s">
        <v>2010</v>
      </c>
      <c r="C2696" t="s">
        <v>6921</v>
      </c>
      <c r="D2696" s="8" t="s">
        <v>6922</v>
      </c>
    </row>
    <row r="2697" spans="1:4" x14ac:dyDescent="0.35">
      <c r="A2697" t="s">
        <v>6931</v>
      </c>
      <c r="B2697" s="8" t="s">
        <v>2010</v>
      </c>
      <c r="C2697" t="s">
        <v>6932</v>
      </c>
      <c r="D2697" s="8" t="s">
        <v>6933</v>
      </c>
    </row>
    <row r="2698" spans="1:4" x14ac:dyDescent="0.35">
      <c r="A2698" t="s">
        <v>6931</v>
      </c>
      <c r="B2698" s="8" t="s">
        <v>2010</v>
      </c>
      <c r="C2698" t="s">
        <v>6927</v>
      </c>
      <c r="D2698" s="8" t="s">
        <v>6928</v>
      </c>
    </row>
    <row r="2699" spans="1:4" x14ac:dyDescent="0.35">
      <c r="A2699" t="s">
        <v>6931</v>
      </c>
      <c r="B2699" s="8" t="s">
        <v>2010</v>
      </c>
      <c r="C2699" t="s">
        <v>6590</v>
      </c>
      <c r="D2699" s="8" t="s">
        <v>6591</v>
      </c>
    </row>
    <row r="2700" spans="1:4" x14ac:dyDescent="0.35">
      <c r="A2700" t="s">
        <v>6931</v>
      </c>
      <c r="B2700" s="8" t="s">
        <v>2010</v>
      </c>
      <c r="C2700" t="s">
        <v>6514</v>
      </c>
      <c r="D2700" s="8" t="s">
        <v>6515</v>
      </c>
    </row>
    <row r="2701" spans="1:4" x14ac:dyDescent="0.35">
      <c r="A2701" t="s">
        <v>6934</v>
      </c>
      <c r="B2701" s="8" t="s">
        <v>2011</v>
      </c>
      <c r="C2701" t="s">
        <v>6394</v>
      </c>
      <c r="D2701" s="8" t="s">
        <v>6395</v>
      </c>
    </row>
    <row r="2702" spans="1:4" x14ac:dyDescent="0.35">
      <c r="A2702" t="s">
        <v>6934</v>
      </c>
      <c r="B2702" s="8" t="s">
        <v>2011</v>
      </c>
      <c r="C2702" t="s">
        <v>6243</v>
      </c>
      <c r="D2702" s="8" t="s">
        <v>6244</v>
      </c>
    </row>
    <row r="2703" spans="1:4" x14ac:dyDescent="0.35">
      <c r="A2703" t="s">
        <v>6934</v>
      </c>
      <c r="B2703" s="8" t="s">
        <v>2011</v>
      </c>
      <c r="C2703" t="s">
        <v>6414</v>
      </c>
      <c r="D2703" s="8" t="s">
        <v>6415</v>
      </c>
    </row>
    <row r="2704" spans="1:4" x14ac:dyDescent="0.35">
      <c r="A2704" t="s">
        <v>6934</v>
      </c>
      <c r="B2704" s="8" t="s">
        <v>2011</v>
      </c>
      <c r="C2704" t="s">
        <v>6416</v>
      </c>
      <c r="D2704" s="8" t="s">
        <v>6417</v>
      </c>
    </row>
    <row r="2705" spans="1:4" x14ac:dyDescent="0.35">
      <c r="A2705" t="s">
        <v>6934</v>
      </c>
      <c r="B2705" s="8" t="s">
        <v>2011</v>
      </c>
      <c r="C2705" t="s">
        <v>6121</v>
      </c>
      <c r="D2705" s="8" t="s">
        <v>6122</v>
      </c>
    </row>
    <row r="2706" spans="1:4" x14ac:dyDescent="0.35">
      <c r="A2706" t="s">
        <v>6934</v>
      </c>
      <c r="B2706" s="8" t="s">
        <v>2011</v>
      </c>
      <c r="C2706" t="s">
        <v>6412</v>
      </c>
      <c r="D2706" s="8" t="s">
        <v>6413</v>
      </c>
    </row>
    <row r="2707" spans="1:4" x14ac:dyDescent="0.35">
      <c r="A2707" t="s">
        <v>6934</v>
      </c>
      <c r="B2707" s="8" t="s">
        <v>2011</v>
      </c>
      <c r="C2707" t="s">
        <v>6123</v>
      </c>
      <c r="D2707" s="8" t="s">
        <v>6124</v>
      </c>
    </row>
    <row r="2708" spans="1:4" x14ac:dyDescent="0.35">
      <c r="A2708" t="s">
        <v>6935</v>
      </c>
      <c r="B2708" s="8" t="s">
        <v>2012</v>
      </c>
      <c r="C2708" t="s">
        <v>6243</v>
      </c>
      <c r="D2708" s="8" t="s">
        <v>6244</v>
      </c>
    </row>
    <row r="2709" spans="1:4" x14ac:dyDescent="0.35">
      <c r="A2709" t="s">
        <v>6935</v>
      </c>
      <c r="B2709" s="8" t="s">
        <v>2012</v>
      </c>
      <c r="C2709" t="s">
        <v>6121</v>
      </c>
      <c r="D2709" s="8" t="s">
        <v>6122</v>
      </c>
    </row>
    <row r="2710" spans="1:4" x14ac:dyDescent="0.35">
      <c r="A2710" t="s">
        <v>6935</v>
      </c>
      <c r="B2710" s="8" t="s">
        <v>2012</v>
      </c>
      <c r="C2710" t="s">
        <v>6268</v>
      </c>
      <c r="D2710" s="8" t="s">
        <v>6269</v>
      </c>
    </row>
    <row r="2711" spans="1:4" x14ac:dyDescent="0.35">
      <c r="A2711" t="s">
        <v>6935</v>
      </c>
      <c r="B2711" s="8" t="s">
        <v>2012</v>
      </c>
      <c r="C2711" t="s">
        <v>6310</v>
      </c>
      <c r="D2711" s="8" t="s">
        <v>6311</v>
      </c>
    </row>
    <row r="2712" spans="1:4" x14ac:dyDescent="0.35">
      <c r="A2712" t="s">
        <v>6935</v>
      </c>
      <c r="B2712" s="8" t="s">
        <v>2012</v>
      </c>
      <c r="C2712" t="s">
        <v>6123</v>
      </c>
      <c r="D2712" s="8" t="s">
        <v>6124</v>
      </c>
    </row>
    <row r="2713" spans="1:4" x14ac:dyDescent="0.35">
      <c r="A2713" t="s">
        <v>6935</v>
      </c>
      <c r="B2713" s="8" t="s">
        <v>2012</v>
      </c>
      <c r="C2713" t="s">
        <v>6576</v>
      </c>
      <c r="D2713" s="8" t="s">
        <v>6577</v>
      </c>
    </row>
    <row r="2714" spans="1:4" x14ac:dyDescent="0.35">
      <c r="A2714" t="s">
        <v>6935</v>
      </c>
      <c r="B2714" s="8" t="s">
        <v>2012</v>
      </c>
      <c r="C2714" t="s">
        <v>6315</v>
      </c>
      <c r="D2714" s="8" t="s">
        <v>6316</v>
      </c>
    </row>
    <row r="2715" spans="1:4" x14ac:dyDescent="0.35">
      <c r="A2715" t="s">
        <v>6936</v>
      </c>
      <c r="B2715" s="8" t="s">
        <v>2013</v>
      </c>
      <c r="C2715" t="s">
        <v>6644</v>
      </c>
      <c r="D2715" s="8" t="s">
        <v>6645</v>
      </c>
    </row>
    <row r="2716" spans="1:4" x14ac:dyDescent="0.35">
      <c r="A2716" t="s">
        <v>6936</v>
      </c>
      <c r="B2716" s="8" t="s">
        <v>2013</v>
      </c>
      <c r="C2716" t="s">
        <v>6235</v>
      </c>
      <c r="D2716" s="8" t="s">
        <v>6236</v>
      </c>
    </row>
    <row r="2717" spans="1:4" x14ac:dyDescent="0.35">
      <c r="A2717" t="s">
        <v>6936</v>
      </c>
      <c r="B2717" s="8" t="s">
        <v>2013</v>
      </c>
      <c r="C2717" t="s">
        <v>6237</v>
      </c>
      <c r="D2717" s="8" t="s">
        <v>6238</v>
      </c>
    </row>
    <row r="2718" spans="1:4" x14ac:dyDescent="0.35">
      <c r="A2718" t="s">
        <v>6936</v>
      </c>
      <c r="B2718" s="8" t="s">
        <v>2013</v>
      </c>
      <c r="C2718" t="s">
        <v>6921</v>
      </c>
      <c r="D2718" s="8" t="s">
        <v>6922</v>
      </c>
    </row>
    <row r="2719" spans="1:4" x14ac:dyDescent="0.35">
      <c r="A2719" t="s">
        <v>6936</v>
      </c>
      <c r="B2719" s="8" t="s">
        <v>2013</v>
      </c>
      <c r="C2719" t="s">
        <v>6932</v>
      </c>
      <c r="D2719" s="8" t="s">
        <v>6933</v>
      </c>
    </row>
    <row r="2720" spans="1:4" x14ac:dyDescent="0.35">
      <c r="A2720" t="s">
        <v>6936</v>
      </c>
      <c r="B2720" s="8" t="s">
        <v>2013</v>
      </c>
      <c r="C2720" t="s">
        <v>6927</v>
      </c>
      <c r="D2720" s="8" t="s">
        <v>6928</v>
      </c>
    </row>
    <row r="2721" spans="1:4" x14ac:dyDescent="0.35">
      <c r="A2721" t="s">
        <v>6936</v>
      </c>
      <c r="B2721" s="8" t="s">
        <v>2013</v>
      </c>
      <c r="C2721" t="s">
        <v>6241</v>
      </c>
      <c r="D2721" s="8" t="s">
        <v>6242</v>
      </c>
    </row>
    <row r="2722" spans="1:4" x14ac:dyDescent="0.35">
      <c r="A2722" t="s">
        <v>6936</v>
      </c>
      <c r="B2722" s="8" t="s">
        <v>2013</v>
      </c>
      <c r="C2722" t="s">
        <v>6590</v>
      </c>
      <c r="D2722" s="8" t="s">
        <v>6591</v>
      </c>
    </row>
    <row r="2723" spans="1:4" x14ac:dyDescent="0.35">
      <c r="A2723" t="s">
        <v>6936</v>
      </c>
      <c r="B2723" s="8" t="s">
        <v>2013</v>
      </c>
      <c r="C2723" t="s">
        <v>6239</v>
      </c>
      <c r="D2723" s="8" t="s">
        <v>6240</v>
      </c>
    </row>
    <row r="2724" spans="1:4" x14ac:dyDescent="0.35">
      <c r="A2724" t="s">
        <v>6936</v>
      </c>
      <c r="B2724" s="8" t="s">
        <v>2013</v>
      </c>
      <c r="C2724" t="s">
        <v>6514</v>
      </c>
      <c r="D2724" s="8" t="s">
        <v>6515</v>
      </c>
    </row>
    <row r="2725" spans="1:4" x14ac:dyDescent="0.35">
      <c r="A2725" t="s">
        <v>6937</v>
      </c>
      <c r="B2725" s="8" t="s">
        <v>2014</v>
      </c>
      <c r="C2725" t="s">
        <v>6243</v>
      </c>
      <c r="D2725" s="8" t="s">
        <v>6244</v>
      </c>
    </row>
    <row r="2726" spans="1:4" x14ac:dyDescent="0.35">
      <c r="A2726" t="s">
        <v>6937</v>
      </c>
      <c r="B2726" s="8" t="s">
        <v>2014</v>
      </c>
      <c r="C2726" t="s">
        <v>6921</v>
      </c>
      <c r="D2726" s="8" t="s">
        <v>6922</v>
      </c>
    </row>
    <row r="2727" spans="1:4" x14ac:dyDescent="0.35">
      <c r="A2727" t="s">
        <v>6937</v>
      </c>
      <c r="B2727" s="8" t="s">
        <v>2014</v>
      </c>
      <c r="C2727" t="s">
        <v>6908</v>
      </c>
      <c r="D2727" s="8" t="s">
        <v>6909</v>
      </c>
    </row>
    <row r="2728" spans="1:4" x14ac:dyDescent="0.35">
      <c r="A2728" t="s">
        <v>6937</v>
      </c>
      <c r="B2728" s="8" t="s">
        <v>2014</v>
      </c>
      <c r="C2728" t="s">
        <v>6268</v>
      </c>
      <c r="D2728" s="8" t="s">
        <v>6269</v>
      </c>
    </row>
    <row r="2729" spans="1:4" x14ac:dyDescent="0.35">
      <c r="A2729" t="s">
        <v>6937</v>
      </c>
      <c r="B2729" s="8" t="s">
        <v>2014</v>
      </c>
      <c r="C2729" t="s">
        <v>6910</v>
      </c>
      <c r="D2729" s="8" t="s">
        <v>6911</v>
      </c>
    </row>
    <row r="2730" spans="1:4" x14ac:dyDescent="0.35">
      <c r="A2730" t="s">
        <v>6937</v>
      </c>
      <c r="B2730" s="8" t="s">
        <v>2014</v>
      </c>
      <c r="C2730" t="s">
        <v>6286</v>
      </c>
      <c r="D2730" s="8" t="s">
        <v>6287</v>
      </c>
    </row>
    <row r="2731" spans="1:4" x14ac:dyDescent="0.35">
      <c r="A2731" t="s">
        <v>6938</v>
      </c>
      <c r="B2731" s="8" t="s">
        <v>2015</v>
      </c>
      <c r="C2731" t="s">
        <v>6644</v>
      </c>
      <c r="D2731" s="8" t="s">
        <v>6645</v>
      </c>
    </row>
    <row r="2732" spans="1:4" x14ac:dyDescent="0.35">
      <c r="A2732" t="s">
        <v>6938</v>
      </c>
      <c r="B2732" s="8" t="s">
        <v>2015</v>
      </c>
      <c r="C2732" t="s">
        <v>6835</v>
      </c>
      <c r="D2732" s="8" t="s">
        <v>6836</v>
      </c>
    </row>
    <row r="2733" spans="1:4" x14ac:dyDescent="0.35">
      <c r="A2733" t="s">
        <v>6938</v>
      </c>
      <c r="B2733" s="8" t="s">
        <v>2015</v>
      </c>
      <c r="C2733" t="s">
        <v>6921</v>
      </c>
      <c r="D2733" s="8" t="s">
        <v>6922</v>
      </c>
    </row>
    <row r="2734" spans="1:4" x14ac:dyDescent="0.35">
      <c r="A2734" t="s">
        <v>6938</v>
      </c>
      <c r="B2734" s="8" t="s">
        <v>2015</v>
      </c>
      <c r="C2734" t="s">
        <v>6588</v>
      </c>
      <c r="D2734" s="8" t="s">
        <v>6589</v>
      </c>
    </row>
    <row r="2735" spans="1:4" x14ac:dyDescent="0.35">
      <c r="A2735" t="s">
        <v>6938</v>
      </c>
      <c r="B2735" s="8" t="s">
        <v>2015</v>
      </c>
      <c r="C2735" t="s">
        <v>6239</v>
      </c>
      <c r="D2735" s="8" t="s">
        <v>6240</v>
      </c>
    </row>
    <row r="2736" spans="1:4" x14ac:dyDescent="0.35">
      <c r="A2736" t="s">
        <v>6939</v>
      </c>
      <c r="B2736" s="8" t="s">
        <v>2016</v>
      </c>
      <c r="C2736" t="s">
        <v>6644</v>
      </c>
      <c r="D2736" s="8" t="s">
        <v>6645</v>
      </c>
    </row>
    <row r="2737" spans="1:4" x14ac:dyDescent="0.35">
      <c r="A2737" t="s">
        <v>6939</v>
      </c>
      <c r="B2737" s="8" t="s">
        <v>2016</v>
      </c>
      <c r="C2737" t="s">
        <v>6148</v>
      </c>
      <c r="D2737" s="8" t="s">
        <v>6149</v>
      </c>
    </row>
    <row r="2738" spans="1:4" x14ac:dyDescent="0.35">
      <c r="A2738" t="s">
        <v>6939</v>
      </c>
      <c r="B2738" s="8" t="s">
        <v>2016</v>
      </c>
      <c r="C2738" t="s">
        <v>6237</v>
      </c>
      <c r="D2738" s="8" t="s">
        <v>6238</v>
      </c>
    </row>
    <row r="2739" spans="1:4" x14ac:dyDescent="0.35">
      <c r="A2739" t="s">
        <v>6939</v>
      </c>
      <c r="B2739" s="8" t="s">
        <v>2016</v>
      </c>
      <c r="C2739" t="s">
        <v>6927</v>
      </c>
      <c r="D2739" s="8" t="s">
        <v>6928</v>
      </c>
    </row>
    <row r="2740" spans="1:4" x14ac:dyDescent="0.35">
      <c r="A2740" t="s">
        <v>6939</v>
      </c>
      <c r="B2740" s="8" t="s">
        <v>2016</v>
      </c>
      <c r="C2740" t="s">
        <v>6268</v>
      </c>
      <c r="D2740" s="8" t="s">
        <v>6269</v>
      </c>
    </row>
    <row r="2741" spans="1:4" x14ac:dyDescent="0.35">
      <c r="A2741" t="s">
        <v>6939</v>
      </c>
      <c r="B2741" s="8" t="s">
        <v>2016</v>
      </c>
      <c r="C2741" t="s">
        <v>6241</v>
      </c>
      <c r="D2741" s="8" t="s">
        <v>6242</v>
      </c>
    </row>
    <row r="2742" spans="1:4" x14ac:dyDescent="0.35">
      <c r="A2742" t="s">
        <v>6939</v>
      </c>
      <c r="B2742" s="8" t="s">
        <v>2016</v>
      </c>
      <c r="C2742" t="s">
        <v>6239</v>
      </c>
      <c r="D2742" s="8" t="s">
        <v>6240</v>
      </c>
    </row>
    <row r="2743" spans="1:4" x14ac:dyDescent="0.35">
      <c r="A2743" t="s">
        <v>6939</v>
      </c>
      <c r="B2743" s="8" t="s">
        <v>2016</v>
      </c>
      <c r="C2743" t="s">
        <v>6598</v>
      </c>
      <c r="D2743" s="8" t="s">
        <v>6599</v>
      </c>
    </row>
    <row r="2744" spans="1:4" x14ac:dyDescent="0.35">
      <c r="A2744" t="s">
        <v>6940</v>
      </c>
      <c r="B2744" s="8" t="s">
        <v>2017</v>
      </c>
      <c r="C2744" t="s">
        <v>6243</v>
      </c>
      <c r="D2744" s="8" t="s">
        <v>6244</v>
      </c>
    </row>
    <row r="2745" spans="1:4" x14ac:dyDescent="0.35">
      <c r="A2745" t="s">
        <v>6940</v>
      </c>
      <c r="B2745" s="8" t="s">
        <v>2017</v>
      </c>
      <c r="C2745" t="s">
        <v>6295</v>
      </c>
      <c r="D2745" s="8" t="s">
        <v>6296</v>
      </c>
    </row>
    <row r="2746" spans="1:4" x14ac:dyDescent="0.35">
      <c r="A2746" t="s">
        <v>6940</v>
      </c>
      <c r="B2746" s="8" t="s">
        <v>2017</v>
      </c>
      <c r="C2746" t="s">
        <v>6310</v>
      </c>
      <c r="D2746" s="8" t="s">
        <v>6311</v>
      </c>
    </row>
    <row r="2747" spans="1:4" x14ac:dyDescent="0.35">
      <c r="A2747" t="s">
        <v>6940</v>
      </c>
      <c r="B2747" s="8" t="s">
        <v>2017</v>
      </c>
      <c r="C2747" t="s">
        <v>6576</v>
      </c>
      <c r="D2747" s="8" t="s">
        <v>6577</v>
      </c>
    </row>
    <row r="2748" spans="1:4" x14ac:dyDescent="0.35">
      <c r="A2748" t="s">
        <v>6940</v>
      </c>
      <c r="B2748" s="8" t="s">
        <v>2017</v>
      </c>
      <c r="C2748" t="s">
        <v>6596</v>
      </c>
      <c r="D2748" s="8" t="s">
        <v>6597</v>
      </c>
    </row>
    <row r="2749" spans="1:4" x14ac:dyDescent="0.35">
      <c r="A2749" t="s">
        <v>6940</v>
      </c>
      <c r="B2749" s="8" t="s">
        <v>2017</v>
      </c>
      <c r="C2749" t="s">
        <v>6514</v>
      </c>
      <c r="D2749" s="8" t="s">
        <v>6515</v>
      </c>
    </row>
    <row r="2750" spans="1:4" x14ac:dyDescent="0.35">
      <c r="A2750" t="s">
        <v>6940</v>
      </c>
      <c r="B2750" s="8" t="s">
        <v>2017</v>
      </c>
      <c r="C2750" t="s">
        <v>6315</v>
      </c>
      <c r="D2750" s="8" t="s">
        <v>6316</v>
      </c>
    </row>
    <row r="2751" spans="1:4" x14ac:dyDescent="0.35">
      <c r="A2751" t="s">
        <v>6941</v>
      </c>
      <c r="B2751" s="8" t="s">
        <v>2018</v>
      </c>
      <c r="C2751" t="s">
        <v>6243</v>
      </c>
      <c r="D2751" s="8" t="s">
        <v>6244</v>
      </c>
    </row>
    <row r="2752" spans="1:4" x14ac:dyDescent="0.35">
      <c r="A2752" t="s">
        <v>6941</v>
      </c>
      <c r="B2752" s="8" t="s">
        <v>2018</v>
      </c>
      <c r="C2752" t="s">
        <v>6295</v>
      </c>
      <c r="D2752" s="8" t="s">
        <v>6296</v>
      </c>
    </row>
    <row r="2753" spans="1:4" x14ac:dyDescent="0.35">
      <c r="A2753" t="s">
        <v>6941</v>
      </c>
      <c r="B2753" s="8" t="s">
        <v>2018</v>
      </c>
      <c r="C2753" t="s">
        <v>6906</v>
      </c>
      <c r="D2753" s="8" t="s">
        <v>6907</v>
      </c>
    </row>
    <row r="2754" spans="1:4" x14ac:dyDescent="0.35">
      <c r="A2754" t="s">
        <v>6941</v>
      </c>
      <c r="B2754" s="8" t="s">
        <v>2018</v>
      </c>
      <c r="C2754" t="s">
        <v>6268</v>
      </c>
      <c r="D2754" s="8" t="s">
        <v>6269</v>
      </c>
    </row>
    <row r="2755" spans="1:4" x14ac:dyDescent="0.35">
      <c r="A2755" t="s">
        <v>6941</v>
      </c>
      <c r="B2755" s="8" t="s">
        <v>2018</v>
      </c>
      <c r="C2755" t="s">
        <v>6245</v>
      </c>
      <c r="D2755" s="8" t="s">
        <v>6246</v>
      </c>
    </row>
    <row r="2756" spans="1:4" x14ac:dyDescent="0.35">
      <c r="A2756" t="s">
        <v>6941</v>
      </c>
      <c r="B2756" s="8" t="s">
        <v>2018</v>
      </c>
      <c r="C2756" t="s">
        <v>6942</v>
      </c>
      <c r="D2756" s="8" t="s">
        <v>6943</v>
      </c>
    </row>
    <row r="2757" spans="1:4" x14ac:dyDescent="0.35">
      <c r="A2757" t="s">
        <v>6941</v>
      </c>
      <c r="B2757" s="8" t="s">
        <v>2018</v>
      </c>
      <c r="C2757" t="s">
        <v>6596</v>
      </c>
      <c r="D2757" s="8" t="s">
        <v>6597</v>
      </c>
    </row>
    <row r="2758" spans="1:4" x14ac:dyDescent="0.35">
      <c r="A2758" t="s">
        <v>6944</v>
      </c>
      <c r="B2758" s="8" t="s">
        <v>2019</v>
      </c>
      <c r="C2758" t="s">
        <v>6243</v>
      </c>
      <c r="D2758" s="8" t="s">
        <v>6244</v>
      </c>
    </row>
    <row r="2759" spans="1:4" x14ac:dyDescent="0.35">
      <c r="A2759" t="s">
        <v>6944</v>
      </c>
      <c r="B2759" s="8" t="s">
        <v>2019</v>
      </c>
      <c r="C2759" t="s">
        <v>6908</v>
      </c>
      <c r="D2759" s="8" t="s">
        <v>6909</v>
      </c>
    </row>
    <row r="2760" spans="1:4" x14ac:dyDescent="0.35">
      <c r="A2760" t="s">
        <v>6944</v>
      </c>
      <c r="B2760" s="8" t="s">
        <v>2019</v>
      </c>
      <c r="C2760" t="s">
        <v>6268</v>
      </c>
      <c r="D2760" s="8" t="s">
        <v>6269</v>
      </c>
    </row>
    <row r="2761" spans="1:4" x14ac:dyDescent="0.35">
      <c r="A2761" t="s">
        <v>6944</v>
      </c>
      <c r="B2761" s="8" t="s">
        <v>2019</v>
      </c>
      <c r="C2761" t="s">
        <v>6910</v>
      </c>
      <c r="D2761" s="8" t="s">
        <v>6911</v>
      </c>
    </row>
    <row r="2762" spans="1:4" x14ac:dyDescent="0.35">
      <c r="A2762" t="s">
        <v>6944</v>
      </c>
      <c r="B2762" s="8" t="s">
        <v>2019</v>
      </c>
      <c r="C2762" t="s">
        <v>6574</v>
      </c>
      <c r="D2762" s="8" t="s">
        <v>6575</v>
      </c>
    </row>
    <row r="2763" spans="1:4" x14ac:dyDescent="0.35">
      <c r="A2763" t="s">
        <v>6944</v>
      </c>
      <c r="B2763" s="8" t="s">
        <v>2019</v>
      </c>
      <c r="C2763" t="s">
        <v>6576</v>
      </c>
      <c r="D2763" s="8" t="s">
        <v>6577</v>
      </c>
    </row>
    <row r="2764" spans="1:4" x14ac:dyDescent="0.35">
      <c r="A2764" t="s">
        <v>6945</v>
      </c>
      <c r="B2764" s="8" t="s">
        <v>2020</v>
      </c>
      <c r="C2764" t="s">
        <v>6414</v>
      </c>
      <c r="D2764" s="8" t="s">
        <v>6415</v>
      </c>
    </row>
    <row r="2765" spans="1:4" x14ac:dyDescent="0.35">
      <c r="A2765" t="s">
        <v>6945</v>
      </c>
      <c r="B2765" s="8" t="s">
        <v>2020</v>
      </c>
      <c r="C2765" t="s">
        <v>6416</v>
      </c>
      <c r="D2765" s="8" t="s">
        <v>6417</v>
      </c>
    </row>
    <row r="2766" spans="1:4" x14ac:dyDescent="0.35">
      <c r="A2766" t="s">
        <v>6945</v>
      </c>
      <c r="B2766" s="8" t="s">
        <v>2020</v>
      </c>
      <c r="C2766" t="s">
        <v>6412</v>
      </c>
      <c r="D2766" s="8" t="s">
        <v>6413</v>
      </c>
    </row>
    <row r="2767" spans="1:4" x14ac:dyDescent="0.35">
      <c r="A2767" t="s">
        <v>6945</v>
      </c>
      <c r="B2767" s="8" t="s">
        <v>2020</v>
      </c>
      <c r="C2767" t="s">
        <v>6574</v>
      </c>
      <c r="D2767" s="8" t="s">
        <v>6575</v>
      </c>
    </row>
    <row r="2768" spans="1:4" x14ac:dyDescent="0.35">
      <c r="A2768" t="s">
        <v>6946</v>
      </c>
      <c r="B2768" s="8" t="s">
        <v>2021</v>
      </c>
      <c r="C2768" t="s">
        <v>6644</v>
      </c>
      <c r="D2768" s="8" t="s">
        <v>6645</v>
      </c>
    </row>
    <row r="2769" spans="1:4" x14ac:dyDescent="0.35">
      <c r="A2769" t="s">
        <v>6946</v>
      </c>
      <c r="B2769" s="8" t="s">
        <v>2021</v>
      </c>
      <c r="C2769" t="s">
        <v>6857</v>
      </c>
      <c r="D2769" s="8" t="s">
        <v>6858</v>
      </c>
    </row>
    <row r="2770" spans="1:4" x14ac:dyDescent="0.35">
      <c r="A2770" t="s">
        <v>6946</v>
      </c>
      <c r="B2770" s="8" t="s">
        <v>2021</v>
      </c>
      <c r="C2770" t="s">
        <v>6537</v>
      </c>
      <c r="D2770" s="8" t="s">
        <v>6538</v>
      </c>
    </row>
    <row r="2771" spans="1:4" x14ac:dyDescent="0.35">
      <c r="A2771" t="s">
        <v>6946</v>
      </c>
      <c r="B2771" s="8" t="s">
        <v>2021</v>
      </c>
      <c r="C2771" t="s">
        <v>6855</v>
      </c>
      <c r="D2771" s="8" t="s">
        <v>6856</v>
      </c>
    </row>
    <row r="2772" spans="1:4" x14ac:dyDescent="0.35">
      <c r="A2772" t="s">
        <v>6946</v>
      </c>
      <c r="B2772" s="8" t="s">
        <v>2021</v>
      </c>
      <c r="C2772" t="s">
        <v>6121</v>
      </c>
      <c r="D2772" s="8" t="s">
        <v>6122</v>
      </c>
    </row>
    <row r="2773" spans="1:4" x14ac:dyDescent="0.35">
      <c r="A2773" t="s">
        <v>6946</v>
      </c>
      <c r="B2773" s="8" t="s">
        <v>2021</v>
      </c>
      <c r="C2773" t="s">
        <v>6123</v>
      </c>
      <c r="D2773" s="8" t="s">
        <v>6124</v>
      </c>
    </row>
    <row r="2774" spans="1:4" x14ac:dyDescent="0.35">
      <c r="A2774" t="s">
        <v>6947</v>
      </c>
      <c r="B2774" s="8" t="s">
        <v>2022</v>
      </c>
      <c r="C2774" t="s">
        <v>6644</v>
      </c>
      <c r="D2774" s="8" t="s">
        <v>6645</v>
      </c>
    </row>
    <row r="2775" spans="1:4" x14ac:dyDescent="0.35">
      <c r="A2775" t="s">
        <v>6947</v>
      </c>
      <c r="B2775" s="8" t="s">
        <v>2022</v>
      </c>
      <c r="C2775" t="s">
        <v>6857</v>
      </c>
      <c r="D2775" s="8" t="s">
        <v>6858</v>
      </c>
    </row>
    <row r="2776" spans="1:4" x14ac:dyDescent="0.35">
      <c r="A2776" t="s">
        <v>6947</v>
      </c>
      <c r="B2776" s="8" t="s">
        <v>2022</v>
      </c>
      <c r="C2776" t="s">
        <v>6855</v>
      </c>
      <c r="D2776" s="8" t="s">
        <v>6856</v>
      </c>
    </row>
    <row r="2777" spans="1:4" x14ac:dyDescent="0.35">
      <c r="A2777" t="s">
        <v>6947</v>
      </c>
      <c r="B2777" s="8" t="s">
        <v>2022</v>
      </c>
      <c r="C2777" t="s">
        <v>6925</v>
      </c>
      <c r="D2777" s="8" t="s">
        <v>6926</v>
      </c>
    </row>
    <row r="2778" spans="1:4" x14ac:dyDescent="0.35">
      <c r="A2778" t="s">
        <v>6947</v>
      </c>
      <c r="B2778" s="8" t="s">
        <v>2022</v>
      </c>
      <c r="C2778" t="s">
        <v>6580</v>
      </c>
      <c r="D2778" s="8" t="s">
        <v>6581</v>
      </c>
    </row>
    <row r="2779" spans="1:4" x14ac:dyDescent="0.35">
      <c r="A2779" t="s">
        <v>6947</v>
      </c>
      <c r="B2779" s="8" t="s">
        <v>2022</v>
      </c>
      <c r="C2779" t="s">
        <v>6590</v>
      </c>
      <c r="D2779" s="8" t="s">
        <v>6591</v>
      </c>
    </row>
    <row r="2780" spans="1:4" x14ac:dyDescent="0.35">
      <c r="A2780" t="s">
        <v>6948</v>
      </c>
      <c r="B2780" s="8" t="s">
        <v>2023</v>
      </c>
      <c r="C2780" t="s">
        <v>6243</v>
      </c>
      <c r="D2780" s="8" t="s">
        <v>6244</v>
      </c>
    </row>
    <row r="2781" spans="1:4" x14ac:dyDescent="0.35">
      <c r="A2781" t="s">
        <v>6948</v>
      </c>
      <c r="B2781" s="8" t="s">
        <v>2023</v>
      </c>
      <c r="C2781" t="s">
        <v>6121</v>
      </c>
      <c r="D2781" s="8" t="s">
        <v>6122</v>
      </c>
    </row>
    <row r="2782" spans="1:4" x14ac:dyDescent="0.35">
      <c r="A2782" t="s">
        <v>6948</v>
      </c>
      <c r="B2782" s="8" t="s">
        <v>2023</v>
      </c>
      <c r="C2782" t="s">
        <v>6906</v>
      </c>
      <c r="D2782" s="8" t="s">
        <v>6907</v>
      </c>
    </row>
    <row r="2783" spans="1:4" x14ac:dyDescent="0.35">
      <c r="A2783" t="s">
        <v>6948</v>
      </c>
      <c r="B2783" s="8" t="s">
        <v>2023</v>
      </c>
      <c r="C2783" t="s">
        <v>6268</v>
      </c>
      <c r="D2783" s="8" t="s">
        <v>6269</v>
      </c>
    </row>
    <row r="2784" spans="1:4" x14ac:dyDescent="0.35">
      <c r="A2784" t="s">
        <v>6948</v>
      </c>
      <c r="B2784" s="8" t="s">
        <v>2023</v>
      </c>
      <c r="C2784" t="s">
        <v>6123</v>
      </c>
      <c r="D2784" s="8" t="s">
        <v>6124</v>
      </c>
    </row>
    <row r="2785" spans="1:4" x14ac:dyDescent="0.35">
      <c r="A2785" t="s">
        <v>6948</v>
      </c>
      <c r="B2785" s="8" t="s">
        <v>2023</v>
      </c>
      <c r="C2785" t="s">
        <v>6942</v>
      </c>
      <c r="D2785" s="8" t="s">
        <v>6943</v>
      </c>
    </row>
    <row r="2786" spans="1:4" x14ac:dyDescent="0.35">
      <c r="A2786" t="s">
        <v>6948</v>
      </c>
      <c r="B2786" s="8" t="s">
        <v>2023</v>
      </c>
      <c r="C2786" t="s">
        <v>6949</v>
      </c>
      <c r="D2786" s="8" t="s">
        <v>6950</v>
      </c>
    </row>
    <row r="2787" spans="1:4" x14ac:dyDescent="0.35">
      <c r="A2787" t="s">
        <v>6951</v>
      </c>
      <c r="B2787" s="8" t="s">
        <v>2024</v>
      </c>
      <c r="C2787" t="s">
        <v>6243</v>
      </c>
      <c r="D2787" s="8" t="s">
        <v>6244</v>
      </c>
    </row>
    <row r="2788" spans="1:4" x14ac:dyDescent="0.35">
      <c r="A2788" t="s">
        <v>6951</v>
      </c>
      <c r="B2788" s="8" t="s">
        <v>2024</v>
      </c>
      <c r="C2788" t="s">
        <v>6574</v>
      </c>
      <c r="D2788" s="8" t="s">
        <v>6575</v>
      </c>
    </row>
    <row r="2789" spans="1:4" x14ac:dyDescent="0.35">
      <c r="A2789" t="s">
        <v>6951</v>
      </c>
      <c r="B2789" s="8" t="s">
        <v>2024</v>
      </c>
      <c r="C2789" t="s">
        <v>6483</v>
      </c>
      <c r="D2789" s="8" t="s">
        <v>6484</v>
      </c>
    </row>
    <row r="2790" spans="1:4" x14ac:dyDescent="0.35">
      <c r="A2790" t="s">
        <v>6951</v>
      </c>
      <c r="B2790" s="8" t="s">
        <v>2024</v>
      </c>
      <c r="C2790" t="s">
        <v>6829</v>
      </c>
      <c r="D2790" s="8" t="s">
        <v>6830</v>
      </c>
    </row>
    <row r="2791" spans="1:4" x14ac:dyDescent="0.35">
      <c r="A2791" t="s">
        <v>6951</v>
      </c>
      <c r="B2791" s="8" t="s">
        <v>2024</v>
      </c>
      <c r="C2791" t="s">
        <v>6894</v>
      </c>
      <c r="D2791" s="8" t="s">
        <v>6895</v>
      </c>
    </row>
    <row r="2792" spans="1:4" x14ac:dyDescent="0.35">
      <c r="A2792" t="s">
        <v>6952</v>
      </c>
      <c r="B2792" s="8" t="s">
        <v>2025</v>
      </c>
      <c r="C2792" t="s">
        <v>6243</v>
      </c>
      <c r="D2792" s="8" t="s">
        <v>6244</v>
      </c>
    </row>
    <row r="2793" spans="1:4" x14ac:dyDescent="0.35">
      <c r="A2793" t="s">
        <v>6952</v>
      </c>
      <c r="B2793" s="8" t="s">
        <v>2025</v>
      </c>
      <c r="C2793" t="s">
        <v>6310</v>
      </c>
      <c r="D2793" s="8" t="s">
        <v>6311</v>
      </c>
    </row>
    <row r="2794" spans="1:4" x14ac:dyDescent="0.35">
      <c r="A2794" t="s">
        <v>6952</v>
      </c>
      <c r="B2794" s="8" t="s">
        <v>2025</v>
      </c>
      <c r="C2794" t="s">
        <v>6574</v>
      </c>
      <c r="D2794" s="8" t="s">
        <v>6575</v>
      </c>
    </row>
    <row r="2795" spans="1:4" x14ac:dyDescent="0.35">
      <c r="A2795" t="s">
        <v>6952</v>
      </c>
      <c r="B2795" s="8" t="s">
        <v>2025</v>
      </c>
      <c r="C2795" t="s">
        <v>6483</v>
      </c>
      <c r="D2795" s="8" t="s">
        <v>6484</v>
      </c>
    </row>
    <row r="2796" spans="1:4" x14ac:dyDescent="0.35">
      <c r="A2796" t="s">
        <v>6952</v>
      </c>
      <c r="B2796" s="8" t="s">
        <v>2025</v>
      </c>
      <c r="C2796" t="s">
        <v>6829</v>
      </c>
      <c r="D2796" s="8" t="s">
        <v>6830</v>
      </c>
    </row>
    <row r="2797" spans="1:4" x14ac:dyDescent="0.35">
      <c r="A2797" t="s">
        <v>6952</v>
      </c>
      <c r="B2797" s="8" t="s">
        <v>2025</v>
      </c>
      <c r="C2797" t="s">
        <v>6894</v>
      </c>
      <c r="D2797" s="8" t="s">
        <v>6895</v>
      </c>
    </row>
    <row r="2798" spans="1:4" x14ac:dyDescent="0.35">
      <c r="A2798" t="s">
        <v>6953</v>
      </c>
      <c r="B2798" s="8" t="s">
        <v>2026</v>
      </c>
      <c r="C2798" t="s">
        <v>6243</v>
      </c>
      <c r="D2798" s="8" t="s">
        <v>6244</v>
      </c>
    </row>
    <row r="2799" spans="1:4" x14ac:dyDescent="0.35">
      <c r="A2799" t="s">
        <v>6953</v>
      </c>
      <c r="B2799" s="8" t="s">
        <v>2026</v>
      </c>
      <c r="C2799" t="s">
        <v>6310</v>
      </c>
      <c r="D2799" s="8" t="s">
        <v>6311</v>
      </c>
    </row>
    <row r="2800" spans="1:4" x14ac:dyDescent="0.35">
      <c r="A2800" t="s">
        <v>6953</v>
      </c>
      <c r="B2800" s="8" t="s">
        <v>2026</v>
      </c>
      <c r="C2800" t="s">
        <v>6574</v>
      </c>
      <c r="D2800" s="8" t="s">
        <v>6575</v>
      </c>
    </row>
    <row r="2801" spans="1:4" x14ac:dyDescent="0.35">
      <c r="A2801" t="s">
        <v>6953</v>
      </c>
      <c r="B2801" s="8" t="s">
        <v>2026</v>
      </c>
      <c r="C2801" t="s">
        <v>6483</v>
      </c>
      <c r="D2801" s="8" t="s">
        <v>6484</v>
      </c>
    </row>
    <row r="2802" spans="1:4" x14ac:dyDescent="0.35">
      <c r="A2802" t="s">
        <v>6953</v>
      </c>
      <c r="B2802" s="8" t="s">
        <v>2026</v>
      </c>
      <c r="C2802" t="s">
        <v>6829</v>
      </c>
      <c r="D2802" s="8" t="s">
        <v>6830</v>
      </c>
    </row>
    <row r="2803" spans="1:4" x14ac:dyDescent="0.35">
      <c r="A2803" t="s">
        <v>6953</v>
      </c>
      <c r="B2803" s="8" t="s">
        <v>2026</v>
      </c>
      <c r="C2803" t="s">
        <v>6894</v>
      </c>
      <c r="D2803" s="8" t="s">
        <v>6895</v>
      </c>
    </row>
    <row r="2804" spans="1:4" x14ac:dyDescent="0.35">
      <c r="A2804" t="s">
        <v>6954</v>
      </c>
      <c r="B2804" s="8" t="s">
        <v>2027</v>
      </c>
      <c r="C2804" t="s">
        <v>6163</v>
      </c>
      <c r="D2804" s="8" t="s">
        <v>6164</v>
      </c>
    </row>
    <row r="2805" spans="1:4" x14ac:dyDescent="0.35">
      <c r="A2805" t="s">
        <v>6955</v>
      </c>
      <c r="B2805" s="8" t="s">
        <v>2028</v>
      </c>
      <c r="C2805" t="s">
        <v>6902</v>
      </c>
      <c r="D2805" s="8" t="s">
        <v>6903</v>
      </c>
    </row>
    <row r="2806" spans="1:4" x14ac:dyDescent="0.35">
      <c r="A2806" t="s">
        <v>6955</v>
      </c>
      <c r="B2806" s="8" t="s">
        <v>2028</v>
      </c>
      <c r="C2806" t="s">
        <v>6956</v>
      </c>
      <c r="D2806" s="8" t="s">
        <v>6957</v>
      </c>
    </row>
    <row r="2807" spans="1:4" x14ac:dyDescent="0.35">
      <c r="A2807" t="s">
        <v>6955</v>
      </c>
      <c r="B2807" s="8" t="s">
        <v>2028</v>
      </c>
      <c r="C2807" t="s">
        <v>6958</v>
      </c>
      <c r="D2807" s="8" t="s">
        <v>6959</v>
      </c>
    </row>
    <row r="2808" spans="1:4" x14ac:dyDescent="0.35">
      <c r="A2808" t="s">
        <v>6955</v>
      </c>
      <c r="B2808" s="8" t="s">
        <v>2028</v>
      </c>
      <c r="C2808" t="s">
        <v>6914</v>
      </c>
      <c r="D2808" s="8" t="s">
        <v>6915</v>
      </c>
    </row>
    <row r="2809" spans="1:4" x14ac:dyDescent="0.35">
      <c r="A2809" t="s">
        <v>6955</v>
      </c>
      <c r="B2809" s="8" t="s">
        <v>2028</v>
      </c>
      <c r="C2809" t="s">
        <v>6916</v>
      </c>
      <c r="D2809" s="8" t="s">
        <v>6917</v>
      </c>
    </row>
    <row r="2810" spans="1:4" x14ac:dyDescent="0.35">
      <c r="A2810" t="s">
        <v>6955</v>
      </c>
      <c r="B2810" s="8" t="s">
        <v>2028</v>
      </c>
      <c r="C2810" t="s">
        <v>6600</v>
      </c>
      <c r="D2810" s="8" t="s">
        <v>6601</v>
      </c>
    </row>
    <row r="2811" spans="1:4" x14ac:dyDescent="0.35">
      <c r="A2811" t="s">
        <v>6955</v>
      </c>
      <c r="B2811" s="8" t="s">
        <v>2028</v>
      </c>
      <c r="C2811" t="s">
        <v>6483</v>
      </c>
      <c r="D2811" s="8" t="s">
        <v>6484</v>
      </c>
    </row>
    <row r="2812" spans="1:4" x14ac:dyDescent="0.35">
      <c r="A2812" t="s">
        <v>6955</v>
      </c>
      <c r="B2812" s="8" t="s">
        <v>2028</v>
      </c>
      <c r="C2812" t="s">
        <v>6441</v>
      </c>
      <c r="D2812" s="8" t="s">
        <v>6442</v>
      </c>
    </row>
    <row r="2813" spans="1:4" x14ac:dyDescent="0.35">
      <c r="A2813" t="s">
        <v>6960</v>
      </c>
      <c r="B2813" s="8" t="s">
        <v>2029</v>
      </c>
      <c r="C2813" t="s">
        <v>6394</v>
      </c>
      <c r="D2813" s="8" t="s">
        <v>6395</v>
      </c>
    </row>
    <row r="2814" spans="1:4" x14ac:dyDescent="0.35">
      <c r="A2814" t="s">
        <v>6960</v>
      </c>
      <c r="B2814" s="8" t="s">
        <v>2029</v>
      </c>
      <c r="C2814" t="s">
        <v>6644</v>
      </c>
      <c r="D2814" s="8" t="s">
        <v>6645</v>
      </c>
    </row>
    <row r="2815" spans="1:4" x14ac:dyDescent="0.35">
      <c r="A2815" t="s">
        <v>6960</v>
      </c>
      <c r="B2815" s="8" t="s">
        <v>2029</v>
      </c>
      <c r="C2815" t="s">
        <v>6398</v>
      </c>
      <c r="D2815" s="8" t="s">
        <v>6399</v>
      </c>
    </row>
    <row r="2816" spans="1:4" x14ac:dyDescent="0.35">
      <c r="A2816" t="s">
        <v>6960</v>
      </c>
      <c r="B2816" s="8" t="s">
        <v>2029</v>
      </c>
      <c r="C2816" t="s">
        <v>6404</v>
      </c>
      <c r="D2816" s="8" t="s">
        <v>6405</v>
      </c>
    </row>
    <row r="2817" spans="1:4" x14ac:dyDescent="0.35">
      <c r="A2817" t="s">
        <v>6960</v>
      </c>
      <c r="B2817" s="8" t="s">
        <v>2029</v>
      </c>
      <c r="C2817" t="s">
        <v>6414</v>
      </c>
      <c r="D2817" s="8" t="s">
        <v>6415</v>
      </c>
    </row>
    <row r="2818" spans="1:4" x14ac:dyDescent="0.35">
      <c r="A2818" t="s">
        <v>6960</v>
      </c>
      <c r="B2818" s="8" t="s">
        <v>2029</v>
      </c>
      <c r="C2818" t="s">
        <v>6537</v>
      </c>
      <c r="D2818" s="8" t="s">
        <v>6538</v>
      </c>
    </row>
    <row r="2819" spans="1:4" x14ac:dyDescent="0.35">
      <c r="A2819" t="s">
        <v>6960</v>
      </c>
      <c r="B2819" s="8" t="s">
        <v>2029</v>
      </c>
      <c r="C2819" t="s">
        <v>6416</v>
      </c>
      <c r="D2819" s="8" t="s">
        <v>6417</v>
      </c>
    </row>
    <row r="2820" spans="1:4" x14ac:dyDescent="0.35">
      <c r="A2820" t="s">
        <v>6960</v>
      </c>
      <c r="B2820" s="8" t="s">
        <v>2029</v>
      </c>
      <c r="C2820" t="s">
        <v>6483</v>
      </c>
      <c r="D2820" s="8" t="s">
        <v>6484</v>
      </c>
    </row>
    <row r="2821" spans="1:4" x14ac:dyDescent="0.35">
      <c r="A2821" t="s">
        <v>6961</v>
      </c>
      <c r="B2821" s="8" t="s">
        <v>2030</v>
      </c>
      <c r="C2821" t="s">
        <v>6644</v>
      </c>
      <c r="D2821" s="8" t="s">
        <v>6645</v>
      </c>
    </row>
    <row r="2822" spans="1:4" x14ac:dyDescent="0.35">
      <c r="A2822" t="s">
        <v>6961</v>
      </c>
      <c r="B2822" s="8" t="s">
        <v>2030</v>
      </c>
      <c r="C2822" t="s">
        <v>6398</v>
      </c>
      <c r="D2822" s="8" t="s">
        <v>6399</v>
      </c>
    </row>
    <row r="2823" spans="1:4" x14ac:dyDescent="0.35">
      <c r="A2823" t="s">
        <v>6961</v>
      </c>
      <c r="B2823" s="8" t="s">
        <v>2030</v>
      </c>
      <c r="C2823" t="s">
        <v>6404</v>
      </c>
      <c r="D2823" s="8" t="s">
        <v>6405</v>
      </c>
    </row>
    <row r="2824" spans="1:4" x14ac:dyDescent="0.35">
      <c r="A2824" t="s">
        <v>6961</v>
      </c>
      <c r="B2824" s="8" t="s">
        <v>2030</v>
      </c>
      <c r="C2824" t="s">
        <v>6537</v>
      </c>
      <c r="D2824" s="8" t="s">
        <v>6538</v>
      </c>
    </row>
    <row r="2825" spans="1:4" x14ac:dyDescent="0.35">
      <c r="A2825" t="s">
        <v>6961</v>
      </c>
      <c r="B2825" s="8" t="s">
        <v>2030</v>
      </c>
      <c r="C2825" t="s">
        <v>6416</v>
      </c>
      <c r="D2825" s="8" t="s">
        <v>6417</v>
      </c>
    </row>
    <row r="2826" spans="1:4" x14ac:dyDescent="0.35">
      <c r="A2826" t="s">
        <v>6961</v>
      </c>
      <c r="B2826" s="8" t="s">
        <v>2030</v>
      </c>
      <c r="C2826" t="s">
        <v>6483</v>
      </c>
      <c r="D2826" s="8" t="s">
        <v>6484</v>
      </c>
    </row>
    <row r="2827" spans="1:4" x14ac:dyDescent="0.35">
      <c r="A2827" t="s">
        <v>6962</v>
      </c>
      <c r="B2827" s="8" t="s">
        <v>2031</v>
      </c>
      <c r="C2827" t="s">
        <v>6535</v>
      </c>
      <c r="D2827" s="8" t="s">
        <v>6536</v>
      </c>
    </row>
    <row r="2828" spans="1:4" x14ac:dyDescent="0.35">
      <c r="A2828" t="s">
        <v>6962</v>
      </c>
      <c r="B2828" s="8" t="s">
        <v>2031</v>
      </c>
      <c r="C2828" t="s">
        <v>6423</v>
      </c>
      <c r="D2828" s="8" t="s">
        <v>6424</v>
      </c>
    </row>
    <row r="2829" spans="1:4" x14ac:dyDescent="0.35">
      <c r="A2829" t="s">
        <v>6962</v>
      </c>
      <c r="B2829" s="8" t="s">
        <v>2031</v>
      </c>
      <c r="C2829" t="s">
        <v>6537</v>
      </c>
      <c r="D2829" s="8" t="s">
        <v>6538</v>
      </c>
    </row>
    <row r="2830" spans="1:4" x14ac:dyDescent="0.35">
      <c r="A2830" t="s">
        <v>6962</v>
      </c>
      <c r="B2830" s="8" t="s">
        <v>2031</v>
      </c>
      <c r="C2830" t="s">
        <v>6416</v>
      </c>
      <c r="D2830" s="8" t="s">
        <v>6417</v>
      </c>
    </row>
    <row r="2831" spans="1:4" x14ac:dyDescent="0.35">
      <c r="A2831" t="s">
        <v>6962</v>
      </c>
      <c r="B2831" s="8" t="s">
        <v>2031</v>
      </c>
      <c r="C2831" t="s">
        <v>6483</v>
      </c>
      <c r="D2831" s="8" t="s">
        <v>6484</v>
      </c>
    </row>
    <row r="2832" spans="1:4" x14ac:dyDescent="0.35">
      <c r="A2832" t="s">
        <v>6963</v>
      </c>
      <c r="B2832" s="8" t="s">
        <v>2032</v>
      </c>
      <c r="C2832" t="s">
        <v>6535</v>
      </c>
      <c r="D2832" s="8" t="s">
        <v>6536</v>
      </c>
    </row>
    <row r="2833" spans="1:4" x14ac:dyDescent="0.35">
      <c r="A2833" t="s">
        <v>6963</v>
      </c>
      <c r="B2833" s="8" t="s">
        <v>2032</v>
      </c>
      <c r="C2833" t="s">
        <v>6764</v>
      </c>
      <c r="D2833" s="8" t="s">
        <v>6765</v>
      </c>
    </row>
    <row r="2834" spans="1:4" x14ac:dyDescent="0.35">
      <c r="A2834" t="s">
        <v>6963</v>
      </c>
      <c r="B2834" s="8" t="s">
        <v>2032</v>
      </c>
      <c r="C2834" t="s">
        <v>6537</v>
      </c>
      <c r="D2834" s="8" t="s">
        <v>6538</v>
      </c>
    </row>
    <row r="2835" spans="1:4" x14ac:dyDescent="0.35">
      <c r="A2835" t="s">
        <v>6963</v>
      </c>
      <c r="B2835" s="8" t="s">
        <v>2032</v>
      </c>
      <c r="C2835" t="s">
        <v>6416</v>
      </c>
      <c r="D2835" s="8" t="s">
        <v>6417</v>
      </c>
    </row>
    <row r="2836" spans="1:4" x14ac:dyDescent="0.35">
      <c r="A2836" t="s">
        <v>6964</v>
      </c>
      <c r="B2836" s="8" t="s">
        <v>2033</v>
      </c>
      <c r="C2836" t="s">
        <v>6535</v>
      </c>
      <c r="D2836" s="8" t="s">
        <v>6536</v>
      </c>
    </row>
    <row r="2837" spans="1:4" x14ac:dyDescent="0.35">
      <c r="A2837" t="s">
        <v>6964</v>
      </c>
      <c r="B2837" s="8" t="s">
        <v>2033</v>
      </c>
      <c r="C2837" t="s">
        <v>6423</v>
      </c>
      <c r="D2837" s="8" t="s">
        <v>6424</v>
      </c>
    </row>
    <row r="2838" spans="1:4" x14ac:dyDescent="0.35">
      <c r="A2838" t="s">
        <v>6964</v>
      </c>
      <c r="B2838" s="8" t="s">
        <v>2033</v>
      </c>
      <c r="C2838" t="s">
        <v>6416</v>
      </c>
      <c r="D2838" s="8" t="s">
        <v>6417</v>
      </c>
    </row>
    <row r="2839" spans="1:4" x14ac:dyDescent="0.35">
      <c r="A2839" t="s">
        <v>6964</v>
      </c>
      <c r="B2839" s="8" t="s">
        <v>2033</v>
      </c>
      <c r="C2839" t="s">
        <v>6483</v>
      </c>
      <c r="D2839" s="8" t="s">
        <v>6484</v>
      </c>
    </row>
    <row r="2840" spans="1:4" x14ac:dyDescent="0.35">
      <c r="A2840" t="s">
        <v>6965</v>
      </c>
      <c r="B2840" s="8" t="s">
        <v>2034</v>
      </c>
      <c r="C2840" t="s">
        <v>6898</v>
      </c>
      <c r="D2840" s="8" t="s">
        <v>6899</v>
      </c>
    </row>
    <row r="2841" spans="1:4" x14ac:dyDescent="0.35">
      <c r="A2841" t="s">
        <v>6965</v>
      </c>
      <c r="B2841" s="8" t="s">
        <v>2034</v>
      </c>
      <c r="C2841" t="s">
        <v>6535</v>
      </c>
      <c r="D2841" s="8" t="s">
        <v>6536</v>
      </c>
    </row>
    <row r="2842" spans="1:4" x14ac:dyDescent="0.35">
      <c r="A2842" t="s">
        <v>6965</v>
      </c>
      <c r="B2842" s="8" t="s">
        <v>2034</v>
      </c>
      <c r="C2842" t="s">
        <v>6862</v>
      </c>
      <c r="D2842" s="8" t="s">
        <v>6863</v>
      </c>
    </row>
    <row r="2843" spans="1:4" x14ac:dyDescent="0.35">
      <c r="A2843" t="s">
        <v>6965</v>
      </c>
      <c r="B2843" s="8" t="s">
        <v>2034</v>
      </c>
      <c r="C2843" t="s">
        <v>6416</v>
      </c>
      <c r="D2843" s="8" t="s">
        <v>6417</v>
      </c>
    </row>
    <row r="2844" spans="1:4" x14ac:dyDescent="0.35">
      <c r="A2844" t="s">
        <v>6965</v>
      </c>
      <c r="B2844" s="8" t="s">
        <v>2034</v>
      </c>
      <c r="C2844" t="s">
        <v>6572</v>
      </c>
      <c r="D2844" s="8" t="s">
        <v>6573</v>
      </c>
    </row>
    <row r="2845" spans="1:4" x14ac:dyDescent="0.35">
      <c r="A2845" t="s">
        <v>6966</v>
      </c>
      <c r="B2845" s="8" t="s">
        <v>2035</v>
      </c>
      <c r="C2845" t="s">
        <v>6535</v>
      </c>
      <c r="D2845" s="8" t="s">
        <v>6536</v>
      </c>
    </row>
    <row r="2846" spans="1:4" x14ac:dyDescent="0.35">
      <c r="A2846" t="s">
        <v>6966</v>
      </c>
      <c r="B2846" s="8" t="s">
        <v>2035</v>
      </c>
      <c r="C2846" t="s">
        <v>6423</v>
      </c>
      <c r="D2846" s="8" t="s">
        <v>6424</v>
      </c>
    </row>
    <row r="2847" spans="1:4" x14ac:dyDescent="0.35">
      <c r="A2847" t="s">
        <v>6966</v>
      </c>
      <c r="B2847" s="8" t="s">
        <v>2035</v>
      </c>
      <c r="C2847" t="s">
        <v>6537</v>
      </c>
      <c r="D2847" s="8" t="s">
        <v>6538</v>
      </c>
    </row>
    <row r="2848" spans="1:4" x14ac:dyDescent="0.35">
      <c r="A2848" t="s">
        <v>6966</v>
      </c>
      <c r="B2848" s="8" t="s">
        <v>2035</v>
      </c>
      <c r="C2848" t="s">
        <v>6416</v>
      </c>
      <c r="D2848" s="8" t="s">
        <v>6417</v>
      </c>
    </row>
    <row r="2849" spans="1:4" x14ac:dyDescent="0.35">
      <c r="A2849" t="s">
        <v>6966</v>
      </c>
      <c r="B2849" s="8" t="s">
        <v>2035</v>
      </c>
      <c r="C2849" t="s">
        <v>6483</v>
      </c>
      <c r="D2849" s="8" t="s">
        <v>6484</v>
      </c>
    </row>
    <row r="2850" spans="1:4" x14ac:dyDescent="0.35">
      <c r="A2850" t="s">
        <v>2036</v>
      </c>
      <c r="B2850" s="8" t="s">
        <v>2037</v>
      </c>
      <c r="C2850" t="s">
        <v>6163</v>
      </c>
      <c r="D2850" s="8" t="s">
        <v>6164</v>
      </c>
    </row>
    <row r="2851" spans="1:4" x14ac:dyDescent="0.35">
      <c r="A2851" t="s">
        <v>2038</v>
      </c>
      <c r="B2851" s="8" t="s">
        <v>2040</v>
      </c>
      <c r="C2851" t="s">
        <v>6582</v>
      </c>
      <c r="D2851" s="8" t="s">
        <v>6583</v>
      </c>
    </row>
    <row r="2852" spans="1:4" x14ac:dyDescent="0.35">
      <c r="A2852" t="s">
        <v>2041</v>
      </c>
      <c r="B2852" s="8" t="s">
        <v>2043</v>
      </c>
      <c r="C2852" t="s">
        <v>6216</v>
      </c>
      <c r="D2852" s="8" t="s">
        <v>6217</v>
      </c>
    </row>
    <row r="2853" spans="1:4" x14ac:dyDescent="0.35">
      <c r="A2853" t="s">
        <v>2041</v>
      </c>
      <c r="B2853" s="8" t="s">
        <v>2043</v>
      </c>
      <c r="C2853" t="s">
        <v>6740</v>
      </c>
      <c r="D2853" s="8" t="s">
        <v>6741</v>
      </c>
    </row>
    <row r="2854" spans="1:4" x14ac:dyDescent="0.35">
      <c r="A2854" t="s">
        <v>2041</v>
      </c>
      <c r="B2854" s="8" t="s">
        <v>2043</v>
      </c>
      <c r="C2854" t="s">
        <v>6247</v>
      </c>
      <c r="D2854" s="8" t="s">
        <v>6248</v>
      </c>
    </row>
    <row r="2855" spans="1:4" x14ac:dyDescent="0.35">
      <c r="A2855" t="s">
        <v>2044</v>
      </c>
      <c r="B2855" s="8" t="s">
        <v>2045</v>
      </c>
      <c r="C2855" t="s">
        <v>6247</v>
      </c>
      <c r="D2855" s="8" t="s">
        <v>6248</v>
      </c>
    </row>
    <row r="2856" spans="1:4" x14ac:dyDescent="0.35">
      <c r="A2856" t="s">
        <v>2044</v>
      </c>
      <c r="B2856" s="8" t="s">
        <v>2045</v>
      </c>
      <c r="C2856" t="s">
        <v>6166</v>
      </c>
      <c r="D2856" s="8" t="s">
        <v>6167</v>
      </c>
    </row>
    <row r="2857" spans="1:4" x14ac:dyDescent="0.35">
      <c r="A2857" t="s">
        <v>2044</v>
      </c>
      <c r="B2857" s="8" t="s">
        <v>2045</v>
      </c>
      <c r="C2857" t="s">
        <v>6168</v>
      </c>
      <c r="D2857" s="8" t="s">
        <v>6169</v>
      </c>
    </row>
    <row r="2858" spans="1:4" x14ac:dyDescent="0.35">
      <c r="A2858" t="s">
        <v>2046</v>
      </c>
      <c r="B2858" s="8" t="s">
        <v>2048</v>
      </c>
      <c r="C2858" t="s">
        <v>6216</v>
      </c>
      <c r="D2858" s="8" t="s">
        <v>6217</v>
      </c>
    </row>
    <row r="2859" spans="1:4" x14ac:dyDescent="0.35">
      <c r="A2859" t="s">
        <v>2046</v>
      </c>
      <c r="B2859" s="8" t="s">
        <v>2048</v>
      </c>
      <c r="C2859" t="s">
        <v>6247</v>
      </c>
      <c r="D2859" s="8" t="s">
        <v>6248</v>
      </c>
    </row>
    <row r="2860" spans="1:4" x14ac:dyDescent="0.35">
      <c r="A2860" t="s">
        <v>2049</v>
      </c>
      <c r="B2860" s="8" t="s">
        <v>2051</v>
      </c>
      <c r="C2860" t="s">
        <v>6582</v>
      </c>
      <c r="D2860" s="8" t="s">
        <v>6583</v>
      </c>
    </row>
    <row r="2861" spans="1:4" x14ac:dyDescent="0.35">
      <c r="A2861" t="s">
        <v>2049</v>
      </c>
      <c r="B2861" s="8" t="s">
        <v>2051</v>
      </c>
      <c r="C2861" t="s">
        <v>6967</v>
      </c>
      <c r="D2861" s="8" t="s">
        <v>6968</v>
      </c>
    </row>
    <row r="2862" spans="1:4" x14ac:dyDescent="0.35">
      <c r="A2862" t="s">
        <v>2049</v>
      </c>
      <c r="B2862" s="8" t="s">
        <v>2051</v>
      </c>
      <c r="C2862" t="s">
        <v>6584</v>
      </c>
      <c r="D2862" s="8" t="s">
        <v>6585</v>
      </c>
    </row>
    <row r="2863" spans="1:4" x14ac:dyDescent="0.35">
      <c r="A2863" t="s">
        <v>2049</v>
      </c>
      <c r="B2863" s="8" t="s">
        <v>2051</v>
      </c>
      <c r="C2863" t="s">
        <v>6586</v>
      </c>
      <c r="D2863" s="8" t="s">
        <v>6587</v>
      </c>
    </row>
    <row r="2864" spans="1:4" x14ac:dyDescent="0.35">
      <c r="A2864" t="s">
        <v>2052</v>
      </c>
      <c r="B2864" s="8" t="s">
        <v>2053</v>
      </c>
      <c r="C2864" t="s">
        <v>6247</v>
      </c>
      <c r="D2864" s="8" t="s">
        <v>6248</v>
      </c>
    </row>
    <row r="2865" spans="1:4" x14ac:dyDescent="0.35">
      <c r="A2865" t="s">
        <v>2052</v>
      </c>
      <c r="B2865" s="8" t="s">
        <v>2053</v>
      </c>
      <c r="C2865" t="s">
        <v>6582</v>
      </c>
      <c r="D2865" s="8" t="s">
        <v>6583</v>
      </c>
    </row>
    <row r="2866" spans="1:4" x14ac:dyDescent="0.35">
      <c r="A2866" t="s">
        <v>2052</v>
      </c>
      <c r="B2866" s="8" t="s">
        <v>2053</v>
      </c>
      <c r="C2866" t="s">
        <v>6584</v>
      </c>
      <c r="D2866" s="8" t="s">
        <v>6585</v>
      </c>
    </row>
    <row r="2867" spans="1:4" x14ac:dyDescent="0.35">
      <c r="A2867" t="s">
        <v>2052</v>
      </c>
      <c r="B2867" s="8" t="s">
        <v>2053</v>
      </c>
      <c r="C2867" t="s">
        <v>6586</v>
      </c>
      <c r="D2867" s="8" t="s">
        <v>6587</v>
      </c>
    </row>
    <row r="2868" spans="1:4" x14ac:dyDescent="0.35">
      <c r="A2868" t="s">
        <v>2054</v>
      </c>
      <c r="B2868" s="8" t="s">
        <v>2056</v>
      </c>
      <c r="C2868" t="s">
        <v>6852</v>
      </c>
      <c r="D2868" s="8" t="s">
        <v>6853</v>
      </c>
    </row>
    <row r="2869" spans="1:4" x14ac:dyDescent="0.35">
      <c r="A2869" t="s">
        <v>2057</v>
      </c>
      <c r="B2869" s="8" t="s">
        <v>2058</v>
      </c>
      <c r="C2869" t="s">
        <v>6969</v>
      </c>
      <c r="D2869" s="8" t="s">
        <v>6970</v>
      </c>
    </row>
    <row r="2870" spans="1:4" x14ac:dyDescent="0.35">
      <c r="A2870" t="s">
        <v>2057</v>
      </c>
      <c r="B2870" s="8" t="s">
        <v>2058</v>
      </c>
      <c r="C2870" t="s">
        <v>6586</v>
      </c>
      <c r="D2870" s="8" t="s">
        <v>6587</v>
      </c>
    </row>
    <row r="2871" spans="1:4" x14ac:dyDescent="0.35">
      <c r="A2871" t="s">
        <v>2059</v>
      </c>
      <c r="B2871" s="8" t="s">
        <v>2060</v>
      </c>
      <c r="C2871" t="s">
        <v>6582</v>
      </c>
      <c r="D2871" s="8" t="s">
        <v>6583</v>
      </c>
    </row>
    <row r="2872" spans="1:4" x14ac:dyDescent="0.35">
      <c r="A2872" t="s">
        <v>2061</v>
      </c>
      <c r="B2872" s="8" t="s">
        <v>2063</v>
      </c>
      <c r="C2872" t="s">
        <v>6163</v>
      </c>
      <c r="D2872" s="8" t="s">
        <v>6164</v>
      </c>
    </row>
    <row r="2873" spans="1:4" ht="29" x14ac:dyDescent="0.35">
      <c r="A2873" t="s">
        <v>2064</v>
      </c>
      <c r="B2873" s="8" t="s">
        <v>2065</v>
      </c>
      <c r="C2873" t="s">
        <v>6971</v>
      </c>
      <c r="D2873" s="8" t="s">
        <v>6972</v>
      </c>
    </row>
    <row r="2874" spans="1:4" x14ac:dyDescent="0.35">
      <c r="A2874" t="s">
        <v>2064</v>
      </c>
      <c r="B2874" s="8" t="s">
        <v>2065</v>
      </c>
      <c r="C2874" t="s">
        <v>6973</v>
      </c>
      <c r="D2874" s="8" t="s">
        <v>6974</v>
      </c>
    </row>
    <row r="2875" spans="1:4" x14ac:dyDescent="0.35">
      <c r="A2875" t="s">
        <v>2066</v>
      </c>
      <c r="B2875" s="8" t="s">
        <v>2068</v>
      </c>
      <c r="C2875" t="s">
        <v>6163</v>
      </c>
      <c r="D2875" s="8" t="s">
        <v>6164</v>
      </c>
    </row>
    <row r="2876" spans="1:4" x14ac:dyDescent="0.35">
      <c r="A2876" t="s">
        <v>2069</v>
      </c>
      <c r="B2876" s="8" t="s">
        <v>2070</v>
      </c>
      <c r="C2876" t="s">
        <v>6163</v>
      </c>
      <c r="D2876" s="8" t="s">
        <v>6164</v>
      </c>
    </row>
    <row r="2877" spans="1:4" x14ac:dyDescent="0.35">
      <c r="A2877" t="s">
        <v>2071</v>
      </c>
      <c r="B2877" s="8" t="s">
        <v>2072</v>
      </c>
      <c r="C2877" t="s">
        <v>6163</v>
      </c>
      <c r="D2877" s="8" t="s">
        <v>6164</v>
      </c>
    </row>
    <row r="2878" spans="1:4" x14ac:dyDescent="0.35">
      <c r="A2878" t="s">
        <v>2073</v>
      </c>
      <c r="B2878" s="8" t="s">
        <v>2074</v>
      </c>
      <c r="C2878" t="s">
        <v>6163</v>
      </c>
      <c r="D2878" s="8" t="s">
        <v>6164</v>
      </c>
    </row>
    <row r="2879" spans="1:4" x14ac:dyDescent="0.35">
      <c r="A2879" t="s">
        <v>2075</v>
      </c>
      <c r="B2879" s="8" t="s">
        <v>2076</v>
      </c>
      <c r="C2879" t="s">
        <v>6163</v>
      </c>
      <c r="D2879" s="8" t="s">
        <v>6164</v>
      </c>
    </row>
    <row r="2880" spans="1:4" x14ac:dyDescent="0.35">
      <c r="A2880" t="s">
        <v>2077</v>
      </c>
      <c r="B2880" s="8" t="s">
        <v>2078</v>
      </c>
      <c r="C2880" t="s">
        <v>6163</v>
      </c>
      <c r="D2880" s="8" t="s">
        <v>6164</v>
      </c>
    </row>
    <row r="2881" spans="1:4" x14ac:dyDescent="0.35">
      <c r="A2881" t="s">
        <v>2079</v>
      </c>
      <c r="B2881" s="8" t="s">
        <v>2080</v>
      </c>
      <c r="C2881" t="s">
        <v>6163</v>
      </c>
      <c r="D2881" s="8" t="s">
        <v>6164</v>
      </c>
    </row>
    <row r="2882" spans="1:4" x14ac:dyDescent="0.35">
      <c r="A2882" t="s">
        <v>2081</v>
      </c>
      <c r="B2882" s="8" t="s">
        <v>2082</v>
      </c>
      <c r="C2882" t="s">
        <v>6163</v>
      </c>
      <c r="D2882" s="8" t="s">
        <v>6164</v>
      </c>
    </row>
    <row r="2883" spans="1:4" x14ac:dyDescent="0.35">
      <c r="A2883" t="s">
        <v>2083</v>
      </c>
      <c r="B2883" s="8" t="s">
        <v>2084</v>
      </c>
      <c r="C2883" t="s">
        <v>6163</v>
      </c>
      <c r="D2883" s="8" t="s">
        <v>6164</v>
      </c>
    </row>
    <row r="2884" spans="1:4" x14ac:dyDescent="0.35">
      <c r="A2884" t="s">
        <v>6975</v>
      </c>
      <c r="B2884" s="8" t="s">
        <v>2085</v>
      </c>
      <c r="C2884" t="s">
        <v>6163</v>
      </c>
      <c r="D2884" s="8" t="s">
        <v>6164</v>
      </c>
    </row>
    <row r="2885" spans="1:4" x14ac:dyDescent="0.35">
      <c r="A2885" t="s">
        <v>2086</v>
      </c>
      <c r="B2885" s="8" t="s">
        <v>2087</v>
      </c>
      <c r="C2885" t="s">
        <v>6163</v>
      </c>
      <c r="D2885" s="8" t="s">
        <v>6164</v>
      </c>
    </row>
    <row r="2886" spans="1:4" x14ac:dyDescent="0.35">
      <c r="A2886" t="s">
        <v>6976</v>
      </c>
      <c r="B2886" s="8" t="s">
        <v>2088</v>
      </c>
      <c r="C2886" t="s">
        <v>6163</v>
      </c>
      <c r="D2886" s="8" t="s">
        <v>6164</v>
      </c>
    </row>
    <row r="2887" spans="1:4" x14ac:dyDescent="0.35">
      <c r="A2887" t="s">
        <v>6977</v>
      </c>
      <c r="B2887" s="8" t="s">
        <v>2089</v>
      </c>
      <c r="C2887" t="s">
        <v>6163</v>
      </c>
      <c r="D2887" s="8" t="s">
        <v>6164</v>
      </c>
    </row>
    <row r="2888" spans="1:4" x14ac:dyDescent="0.35">
      <c r="A2888" t="s">
        <v>6978</v>
      </c>
      <c r="B2888" s="8" t="s">
        <v>2090</v>
      </c>
      <c r="C2888" t="s">
        <v>6163</v>
      </c>
      <c r="D2888" s="8" t="s">
        <v>6164</v>
      </c>
    </row>
    <row r="2889" spans="1:4" x14ac:dyDescent="0.35">
      <c r="A2889" t="s">
        <v>6979</v>
      </c>
      <c r="B2889" s="8" t="s">
        <v>2091</v>
      </c>
      <c r="C2889" t="s">
        <v>6163</v>
      </c>
      <c r="D2889" s="8" t="s">
        <v>6164</v>
      </c>
    </row>
    <row r="2890" spans="1:4" x14ac:dyDescent="0.35">
      <c r="A2890" t="s">
        <v>6980</v>
      </c>
      <c r="B2890" s="8" t="s">
        <v>2092</v>
      </c>
      <c r="C2890" t="s">
        <v>6163</v>
      </c>
      <c r="D2890" s="8" t="s">
        <v>6164</v>
      </c>
    </row>
    <row r="2891" spans="1:4" x14ac:dyDescent="0.35">
      <c r="A2891" t="s">
        <v>6981</v>
      </c>
      <c r="B2891" s="8" t="s">
        <v>2093</v>
      </c>
      <c r="C2891" t="s">
        <v>6163</v>
      </c>
      <c r="D2891" s="8" t="s">
        <v>6164</v>
      </c>
    </row>
    <row r="2892" spans="1:4" x14ac:dyDescent="0.35">
      <c r="A2892" t="s">
        <v>2094</v>
      </c>
      <c r="B2892" s="8" t="s">
        <v>2095</v>
      </c>
      <c r="C2892" t="s">
        <v>6163</v>
      </c>
      <c r="D2892" s="8" t="s">
        <v>6164</v>
      </c>
    </row>
    <row r="2893" spans="1:4" x14ac:dyDescent="0.35">
      <c r="A2893" t="s">
        <v>2096</v>
      </c>
      <c r="B2893" s="8" t="s">
        <v>2097</v>
      </c>
      <c r="C2893" t="s">
        <v>6163</v>
      </c>
      <c r="D2893" s="8" t="s">
        <v>6164</v>
      </c>
    </row>
    <row r="2894" spans="1:4" x14ac:dyDescent="0.35">
      <c r="A2894" t="s">
        <v>2098</v>
      </c>
      <c r="B2894" s="8" t="s">
        <v>2099</v>
      </c>
      <c r="C2894" t="s">
        <v>6163</v>
      </c>
      <c r="D2894" s="8" t="s">
        <v>6164</v>
      </c>
    </row>
    <row r="2895" spans="1:4" x14ac:dyDescent="0.35">
      <c r="A2895" t="s">
        <v>2100</v>
      </c>
      <c r="B2895" s="8" t="s">
        <v>2101</v>
      </c>
      <c r="C2895" t="s">
        <v>6163</v>
      </c>
      <c r="D2895" s="8" t="s">
        <v>6164</v>
      </c>
    </row>
    <row r="2896" spans="1:4" x14ac:dyDescent="0.35">
      <c r="A2896" t="s">
        <v>2102</v>
      </c>
      <c r="B2896" s="8" t="s">
        <v>2103</v>
      </c>
      <c r="C2896" t="s">
        <v>6163</v>
      </c>
      <c r="D2896" s="8" t="s">
        <v>6164</v>
      </c>
    </row>
    <row r="2897" spans="1:4" x14ac:dyDescent="0.35">
      <c r="A2897" t="s">
        <v>6982</v>
      </c>
      <c r="B2897" s="8" t="s">
        <v>2104</v>
      </c>
      <c r="C2897" t="s">
        <v>6163</v>
      </c>
      <c r="D2897" s="8" t="s">
        <v>6164</v>
      </c>
    </row>
    <row r="2898" spans="1:4" x14ac:dyDescent="0.35">
      <c r="A2898" t="s">
        <v>2105</v>
      </c>
      <c r="B2898" s="8" t="s">
        <v>2106</v>
      </c>
      <c r="C2898" t="s">
        <v>6163</v>
      </c>
      <c r="D2898" s="8" t="s">
        <v>6164</v>
      </c>
    </row>
    <row r="2899" spans="1:4" x14ac:dyDescent="0.35">
      <c r="A2899" t="s">
        <v>2107</v>
      </c>
      <c r="B2899" s="8" t="s">
        <v>2108</v>
      </c>
      <c r="C2899" t="s">
        <v>6163</v>
      </c>
      <c r="D2899" s="8" t="s">
        <v>6164</v>
      </c>
    </row>
    <row r="2900" spans="1:4" x14ac:dyDescent="0.35">
      <c r="A2900" t="s">
        <v>2109</v>
      </c>
      <c r="B2900" s="8" t="s">
        <v>2110</v>
      </c>
      <c r="C2900" t="s">
        <v>6163</v>
      </c>
      <c r="D2900" s="8" t="s">
        <v>6164</v>
      </c>
    </row>
    <row r="2901" spans="1:4" x14ac:dyDescent="0.35">
      <c r="A2901" t="s">
        <v>2111</v>
      </c>
      <c r="B2901" s="8" t="s">
        <v>2112</v>
      </c>
      <c r="C2901" t="s">
        <v>6163</v>
      </c>
      <c r="D2901" s="8" t="s">
        <v>6164</v>
      </c>
    </row>
    <row r="2902" spans="1:4" x14ac:dyDescent="0.35">
      <c r="A2902" t="s">
        <v>6983</v>
      </c>
      <c r="B2902" s="8" t="s">
        <v>2113</v>
      </c>
      <c r="C2902" t="s">
        <v>6163</v>
      </c>
      <c r="D2902" s="8" t="s">
        <v>6164</v>
      </c>
    </row>
    <row r="2903" spans="1:4" x14ac:dyDescent="0.35">
      <c r="A2903" t="s">
        <v>2114</v>
      </c>
      <c r="B2903" s="8" t="s">
        <v>2115</v>
      </c>
      <c r="C2903" t="s">
        <v>6163</v>
      </c>
      <c r="D2903" s="8" t="s">
        <v>6164</v>
      </c>
    </row>
    <row r="2904" spans="1:4" x14ac:dyDescent="0.35">
      <c r="A2904" t="s">
        <v>2116</v>
      </c>
      <c r="B2904" s="8" t="s">
        <v>2117</v>
      </c>
      <c r="C2904" t="s">
        <v>6163</v>
      </c>
      <c r="D2904" s="8" t="s">
        <v>6164</v>
      </c>
    </row>
    <row r="2905" spans="1:4" x14ac:dyDescent="0.35">
      <c r="A2905" t="s">
        <v>2118</v>
      </c>
      <c r="B2905" s="8" t="s">
        <v>2119</v>
      </c>
      <c r="C2905" t="s">
        <v>6163</v>
      </c>
      <c r="D2905" s="8" t="s">
        <v>6164</v>
      </c>
    </row>
    <row r="2906" spans="1:4" x14ac:dyDescent="0.35">
      <c r="A2906" t="s">
        <v>2120</v>
      </c>
      <c r="B2906" s="8" t="s">
        <v>2121</v>
      </c>
      <c r="C2906" t="s">
        <v>6163</v>
      </c>
      <c r="D2906" s="8" t="s">
        <v>6164</v>
      </c>
    </row>
    <row r="2907" spans="1:4" x14ac:dyDescent="0.35">
      <c r="A2907" t="s">
        <v>6984</v>
      </c>
      <c r="B2907" s="8" t="s">
        <v>2122</v>
      </c>
      <c r="C2907" t="s">
        <v>6163</v>
      </c>
      <c r="D2907" s="8" t="s">
        <v>6164</v>
      </c>
    </row>
    <row r="2908" spans="1:4" x14ac:dyDescent="0.35">
      <c r="A2908" t="s">
        <v>2123</v>
      </c>
      <c r="B2908" s="8" t="s">
        <v>2124</v>
      </c>
      <c r="C2908" t="s">
        <v>6163</v>
      </c>
      <c r="D2908" s="8" t="s">
        <v>6164</v>
      </c>
    </row>
    <row r="2909" spans="1:4" x14ac:dyDescent="0.35">
      <c r="A2909" t="s">
        <v>2125</v>
      </c>
      <c r="B2909" s="8" t="s">
        <v>2126</v>
      </c>
      <c r="C2909" t="s">
        <v>6163</v>
      </c>
      <c r="D2909" s="8" t="s">
        <v>6164</v>
      </c>
    </row>
    <row r="2910" spans="1:4" x14ac:dyDescent="0.35">
      <c r="A2910" t="s">
        <v>2127</v>
      </c>
      <c r="B2910" s="8" t="s">
        <v>2128</v>
      </c>
      <c r="C2910" t="s">
        <v>6163</v>
      </c>
      <c r="D2910" s="8" t="s">
        <v>6164</v>
      </c>
    </row>
    <row r="2911" spans="1:4" x14ac:dyDescent="0.35">
      <c r="A2911" t="s">
        <v>2129</v>
      </c>
      <c r="B2911" s="8" t="s">
        <v>2130</v>
      </c>
      <c r="C2911" t="s">
        <v>6163</v>
      </c>
      <c r="D2911" s="8" t="s">
        <v>6164</v>
      </c>
    </row>
    <row r="2912" spans="1:4" x14ac:dyDescent="0.35">
      <c r="A2912" t="s">
        <v>2131</v>
      </c>
      <c r="B2912" s="8" t="s">
        <v>2132</v>
      </c>
      <c r="C2912" t="s">
        <v>6163</v>
      </c>
      <c r="D2912" s="8" t="s">
        <v>6164</v>
      </c>
    </row>
    <row r="2913" spans="1:4" x14ac:dyDescent="0.35">
      <c r="A2913" t="s">
        <v>2133</v>
      </c>
      <c r="B2913" s="8" t="s">
        <v>2134</v>
      </c>
      <c r="C2913" t="s">
        <v>6163</v>
      </c>
      <c r="D2913" s="8" t="s">
        <v>6164</v>
      </c>
    </row>
    <row r="2914" spans="1:4" x14ac:dyDescent="0.35">
      <c r="A2914" t="s">
        <v>2135</v>
      </c>
      <c r="B2914" s="8" t="s">
        <v>2136</v>
      </c>
      <c r="C2914" t="s">
        <v>6163</v>
      </c>
      <c r="D2914" s="8" t="s">
        <v>6164</v>
      </c>
    </row>
    <row r="2915" spans="1:4" x14ac:dyDescent="0.35">
      <c r="A2915" t="s">
        <v>2137</v>
      </c>
      <c r="B2915" s="8" t="s">
        <v>2138</v>
      </c>
      <c r="C2915" t="s">
        <v>6163</v>
      </c>
      <c r="D2915" s="8" t="s">
        <v>6164</v>
      </c>
    </row>
    <row r="2916" spans="1:4" x14ac:dyDescent="0.35">
      <c r="A2916" t="s">
        <v>2139</v>
      </c>
      <c r="B2916" s="8" t="s">
        <v>2140</v>
      </c>
      <c r="C2916" t="s">
        <v>6163</v>
      </c>
      <c r="D2916" s="8" t="s">
        <v>6164</v>
      </c>
    </row>
    <row r="2917" spans="1:4" x14ac:dyDescent="0.35">
      <c r="A2917" t="s">
        <v>2141</v>
      </c>
      <c r="B2917" s="8" t="s">
        <v>2142</v>
      </c>
      <c r="C2917" t="s">
        <v>6163</v>
      </c>
      <c r="D2917" s="8" t="s">
        <v>6164</v>
      </c>
    </row>
    <row r="2918" spans="1:4" x14ac:dyDescent="0.35">
      <c r="A2918" t="s">
        <v>2143</v>
      </c>
      <c r="B2918" s="8" t="s">
        <v>2144</v>
      </c>
      <c r="C2918" t="s">
        <v>6163</v>
      </c>
      <c r="D2918" s="8" t="s">
        <v>6164</v>
      </c>
    </row>
    <row r="2919" spans="1:4" x14ac:dyDescent="0.35">
      <c r="A2919" t="s">
        <v>2145</v>
      </c>
      <c r="B2919" s="8" t="s">
        <v>2146</v>
      </c>
      <c r="C2919" t="s">
        <v>6163</v>
      </c>
      <c r="D2919" s="8" t="s">
        <v>6164</v>
      </c>
    </row>
    <row r="2920" spans="1:4" x14ac:dyDescent="0.35">
      <c r="A2920" t="s">
        <v>2147</v>
      </c>
      <c r="B2920" s="8" t="s">
        <v>2148</v>
      </c>
      <c r="C2920" t="s">
        <v>6163</v>
      </c>
      <c r="D2920" s="8" t="s">
        <v>6164</v>
      </c>
    </row>
    <row r="2921" spans="1:4" x14ac:dyDescent="0.35">
      <c r="A2921" t="s">
        <v>2149</v>
      </c>
      <c r="B2921" s="8" t="s">
        <v>2150</v>
      </c>
      <c r="C2921" t="s">
        <v>6163</v>
      </c>
      <c r="D2921" s="8" t="s">
        <v>6164</v>
      </c>
    </row>
    <row r="2922" spans="1:4" x14ac:dyDescent="0.35">
      <c r="A2922" t="s">
        <v>2151</v>
      </c>
      <c r="B2922" s="8" t="s">
        <v>2152</v>
      </c>
      <c r="C2922" t="s">
        <v>6163</v>
      </c>
      <c r="D2922" s="8" t="s">
        <v>6164</v>
      </c>
    </row>
    <row r="2923" spans="1:4" x14ac:dyDescent="0.35">
      <c r="A2923" t="s">
        <v>2153</v>
      </c>
      <c r="B2923" s="8" t="s">
        <v>2154</v>
      </c>
      <c r="C2923" t="s">
        <v>6163</v>
      </c>
      <c r="D2923" s="8" t="s">
        <v>6164</v>
      </c>
    </row>
    <row r="2924" spans="1:4" x14ac:dyDescent="0.35">
      <c r="A2924" t="s">
        <v>2155</v>
      </c>
      <c r="B2924" s="8" t="s">
        <v>2156</v>
      </c>
      <c r="C2924" t="s">
        <v>6163</v>
      </c>
      <c r="D2924" s="8" t="s">
        <v>6164</v>
      </c>
    </row>
    <row r="2925" spans="1:4" x14ac:dyDescent="0.35">
      <c r="A2925" t="s">
        <v>2157</v>
      </c>
      <c r="B2925" s="8" t="s">
        <v>2158</v>
      </c>
      <c r="C2925" t="s">
        <v>6163</v>
      </c>
      <c r="D2925" s="8" t="s">
        <v>6164</v>
      </c>
    </row>
    <row r="2926" spans="1:4" x14ac:dyDescent="0.35">
      <c r="A2926" t="s">
        <v>6985</v>
      </c>
      <c r="B2926" s="8" t="s">
        <v>2161</v>
      </c>
      <c r="C2926" t="s">
        <v>6163</v>
      </c>
      <c r="D2926" s="8" t="s">
        <v>6164</v>
      </c>
    </row>
    <row r="2927" spans="1:4" x14ac:dyDescent="0.35">
      <c r="A2927" t="s">
        <v>6986</v>
      </c>
      <c r="B2927" s="8" t="s">
        <v>2162</v>
      </c>
      <c r="C2927" t="s">
        <v>6163</v>
      </c>
      <c r="D2927" s="8" t="s">
        <v>6164</v>
      </c>
    </row>
    <row r="2928" spans="1:4" x14ac:dyDescent="0.35">
      <c r="A2928" t="s">
        <v>6987</v>
      </c>
      <c r="B2928" s="8" t="s">
        <v>2163</v>
      </c>
      <c r="C2928" t="s">
        <v>6163</v>
      </c>
      <c r="D2928" s="8" t="s">
        <v>6164</v>
      </c>
    </row>
    <row r="2929" spans="1:4" x14ac:dyDescent="0.35">
      <c r="A2929" t="s">
        <v>6988</v>
      </c>
      <c r="B2929" s="8" t="s">
        <v>2164</v>
      </c>
      <c r="C2929" t="s">
        <v>6163</v>
      </c>
      <c r="D2929" s="8" t="s">
        <v>6164</v>
      </c>
    </row>
    <row r="2930" spans="1:4" x14ac:dyDescent="0.35">
      <c r="A2930" t="s">
        <v>2165</v>
      </c>
      <c r="B2930" s="8" t="s">
        <v>2166</v>
      </c>
      <c r="C2930" t="s">
        <v>6163</v>
      </c>
      <c r="D2930" s="8" t="s">
        <v>6164</v>
      </c>
    </row>
    <row r="2931" spans="1:4" x14ac:dyDescent="0.35">
      <c r="A2931" t="s">
        <v>6989</v>
      </c>
      <c r="B2931" s="8" t="s">
        <v>2160</v>
      </c>
      <c r="C2931" t="s">
        <v>6163</v>
      </c>
      <c r="D2931" s="8" t="s">
        <v>6164</v>
      </c>
    </row>
    <row r="2932" spans="1:4" x14ac:dyDescent="0.35">
      <c r="A2932" t="s">
        <v>6990</v>
      </c>
      <c r="B2932" s="8" t="s">
        <v>2167</v>
      </c>
      <c r="C2932" t="s">
        <v>6163</v>
      </c>
      <c r="D2932" s="8" t="s">
        <v>6164</v>
      </c>
    </row>
    <row r="2933" spans="1:4" x14ac:dyDescent="0.35">
      <c r="A2933" t="s">
        <v>6991</v>
      </c>
      <c r="B2933" s="8" t="s">
        <v>2168</v>
      </c>
      <c r="C2933" t="s">
        <v>6163</v>
      </c>
      <c r="D2933" s="8" t="s">
        <v>6164</v>
      </c>
    </row>
    <row r="2934" spans="1:4" x14ac:dyDescent="0.35">
      <c r="A2934" t="s">
        <v>6992</v>
      </c>
      <c r="B2934" s="8" t="s">
        <v>2169</v>
      </c>
      <c r="C2934" t="s">
        <v>6163</v>
      </c>
      <c r="D2934" s="8" t="s">
        <v>6164</v>
      </c>
    </row>
    <row r="2935" spans="1:4" x14ac:dyDescent="0.35">
      <c r="A2935" t="s">
        <v>6993</v>
      </c>
      <c r="B2935" s="8" t="s">
        <v>2170</v>
      </c>
      <c r="C2935" t="s">
        <v>6163</v>
      </c>
      <c r="D2935" s="8" t="s">
        <v>6164</v>
      </c>
    </row>
    <row r="2936" spans="1:4" x14ac:dyDescent="0.35">
      <c r="A2936" t="s">
        <v>6994</v>
      </c>
      <c r="B2936" s="8" t="s">
        <v>2171</v>
      </c>
      <c r="C2936" t="s">
        <v>6163</v>
      </c>
      <c r="D2936" s="8" t="s">
        <v>6164</v>
      </c>
    </row>
    <row r="2937" spans="1:4" x14ac:dyDescent="0.35">
      <c r="A2937" t="s">
        <v>6995</v>
      </c>
      <c r="B2937" s="8" t="s">
        <v>2172</v>
      </c>
      <c r="C2937" t="s">
        <v>6163</v>
      </c>
      <c r="D2937" s="8" t="s">
        <v>6164</v>
      </c>
    </row>
    <row r="2938" spans="1:4" x14ac:dyDescent="0.35">
      <c r="A2938" t="s">
        <v>2173</v>
      </c>
      <c r="B2938" s="8" t="s">
        <v>2174</v>
      </c>
      <c r="C2938" t="s">
        <v>6163</v>
      </c>
      <c r="D2938" s="8" t="s">
        <v>6164</v>
      </c>
    </row>
    <row r="2939" spans="1:4" x14ac:dyDescent="0.35">
      <c r="A2939" t="s">
        <v>2175</v>
      </c>
      <c r="B2939" s="8" t="s">
        <v>2176</v>
      </c>
      <c r="C2939" t="s">
        <v>6163</v>
      </c>
      <c r="D2939" s="8" t="s">
        <v>6164</v>
      </c>
    </row>
    <row r="2940" spans="1:4" x14ac:dyDescent="0.35">
      <c r="A2940" t="s">
        <v>2177</v>
      </c>
      <c r="B2940" s="8" t="s">
        <v>2178</v>
      </c>
      <c r="C2940" t="s">
        <v>6163</v>
      </c>
      <c r="D2940" s="8" t="s">
        <v>6164</v>
      </c>
    </row>
    <row r="2941" spans="1:4" x14ac:dyDescent="0.35">
      <c r="A2941" t="s">
        <v>2179</v>
      </c>
      <c r="B2941" s="8" t="s">
        <v>2180</v>
      </c>
      <c r="C2941" t="s">
        <v>6163</v>
      </c>
      <c r="D2941" s="8" t="s">
        <v>6164</v>
      </c>
    </row>
    <row r="2942" spans="1:4" x14ac:dyDescent="0.35">
      <c r="A2942" t="s">
        <v>6996</v>
      </c>
      <c r="B2942" s="8" t="s">
        <v>2181</v>
      </c>
      <c r="C2942" t="s">
        <v>6163</v>
      </c>
      <c r="D2942" s="8" t="s">
        <v>6164</v>
      </c>
    </row>
    <row r="2943" spans="1:4" x14ac:dyDescent="0.35">
      <c r="A2943" t="s">
        <v>6997</v>
      </c>
      <c r="B2943" s="8" t="s">
        <v>2182</v>
      </c>
      <c r="C2943" t="s">
        <v>6163</v>
      </c>
      <c r="D2943" s="8" t="s">
        <v>6164</v>
      </c>
    </row>
    <row r="2944" spans="1:4" x14ac:dyDescent="0.35">
      <c r="A2944" t="s">
        <v>2183</v>
      </c>
      <c r="B2944" s="8" t="s">
        <v>2184</v>
      </c>
      <c r="C2944" t="s">
        <v>6163</v>
      </c>
      <c r="D2944" s="8" t="s">
        <v>6164</v>
      </c>
    </row>
    <row r="2945" spans="1:4" x14ac:dyDescent="0.35">
      <c r="A2945" t="s">
        <v>2185</v>
      </c>
      <c r="B2945" s="8" t="s">
        <v>2186</v>
      </c>
      <c r="C2945" t="s">
        <v>6949</v>
      </c>
      <c r="D2945" s="8" t="s">
        <v>6950</v>
      </c>
    </row>
    <row r="2946" spans="1:4" x14ac:dyDescent="0.35">
      <c r="A2946" t="s">
        <v>2187</v>
      </c>
      <c r="B2946" s="8" t="s">
        <v>2188</v>
      </c>
      <c r="C2946" t="s">
        <v>6949</v>
      </c>
      <c r="D2946" s="8" t="s">
        <v>6950</v>
      </c>
    </row>
    <row r="2947" spans="1:4" x14ac:dyDescent="0.35">
      <c r="A2947" t="s">
        <v>2189</v>
      </c>
      <c r="B2947" s="8" t="s">
        <v>2190</v>
      </c>
      <c r="C2947" t="s">
        <v>6644</v>
      </c>
      <c r="D2947" s="8" t="s">
        <v>6645</v>
      </c>
    </row>
    <row r="2948" spans="1:4" x14ac:dyDescent="0.35">
      <c r="A2948" t="s">
        <v>2189</v>
      </c>
      <c r="B2948" s="8" t="s">
        <v>2190</v>
      </c>
      <c r="C2948" t="s">
        <v>6857</v>
      </c>
      <c r="D2948" s="8" t="s">
        <v>6858</v>
      </c>
    </row>
    <row r="2949" spans="1:4" x14ac:dyDescent="0.35">
      <c r="A2949" t="s">
        <v>2189</v>
      </c>
      <c r="B2949" s="8" t="s">
        <v>2190</v>
      </c>
      <c r="C2949" t="s">
        <v>6580</v>
      </c>
      <c r="D2949" s="8" t="s">
        <v>6581</v>
      </c>
    </row>
    <row r="2950" spans="1:4" x14ac:dyDescent="0.35">
      <c r="A2950" t="s">
        <v>2191</v>
      </c>
      <c r="B2950" s="8" t="s">
        <v>2192</v>
      </c>
      <c r="C2950" t="s">
        <v>6949</v>
      </c>
      <c r="D2950" s="8" t="s">
        <v>6950</v>
      </c>
    </row>
    <row r="2951" spans="1:4" x14ac:dyDescent="0.35">
      <c r="A2951" t="s">
        <v>2193</v>
      </c>
      <c r="B2951" s="8" t="s">
        <v>2194</v>
      </c>
      <c r="C2951" t="s">
        <v>6949</v>
      </c>
      <c r="D2951" s="8" t="s">
        <v>6950</v>
      </c>
    </row>
    <row r="2952" spans="1:4" x14ac:dyDescent="0.35">
      <c r="A2952" t="s">
        <v>2195</v>
      </c>
      <c r="B2952" s="8" t="s">
        <v>2196</v>
      </c>
      <c r="C2952" t="s">
        <v>6949</v>
      </c>
      <c r="D2952" s="8" t="s">
        <v>6950</v>
      </c>
    </row>
    <row r="2953" spans="1:4" x14ac:dyDescent="0.35">
      <c r="A2953" t="s">
        <v>2197</v>
      </c>
      <c r="B2953" s="8" t="s">
        <v>2198</v>
      </c>
      <c r="C2953" t="s">
        <v>6949</v>
      </c>
      <c r="D2953" s="8" t="s">
        <v>6950</v>
      </c>
    </row>
    <row r="2954" spans="1:4" x14ac:dyDescent="0.35">
      <c r="A2954" t="s">
        <v>2199</v>
      </c>
      <c r="B2954" s="8" t="s">
        <v>2200</v>
      </c>
      <c r="C2954" t="s">
        <v>6949</v>
      </c>
      <c r="D2954" s="8" t="s">
        <v>6950</v>
      </c>
    </row>
    <row r="2955" spans="1:4" x14ac:dyDescent="0.35">
      <c r="A2955" t="s">
        <v>2201</v>
      </c>
      <c r="B2955" s="8" t="s">
        <v>2202</v>
      </c>
      <c r="C2955" t="s">
        <v>6949</v>
      </c>
      <c r="D2955" s="8" t="s">
        <v>6950</v>
      </c>
    </row>
    <row r="2956" spans="1:4" x14ac:dyDescent="0.35">
      <c r="A2956" t="s">
        <v>2203</v>
      </c>
      <c r="B2956" s="8" t="s">
        <v>2204</v>
      </c>
      <c r="C2956" t="s">
        <v>6949</v>
      </c>
      <c r="D2956" s="8" t="s">
        <v>6950</v>
      </c>
    </row>
    <row r="2957" spans="1:4" x14ac:dyDescent="0.35">
      <c r="A2957" t="s">
        <v>2205</v>
      </c>
      <c r="B2957" s="8" t="s">
        <v>2206</v>
      </c>
      <c r="C2957" t="s">
        <v>6310</v>
      </c>
      <c r="D2957" s="8" t="s">
        <v>6311</v>
      </c>
    </row>
    <row r="2958" spans="1:4" x14ac:dyDescent="0.35">
      <c r="A2958" t="s">
        <v>2207</v>
      </c>
      <c r="B2958" s="8" t="s">
        <v>2208</v>
      </c>
      <c r="C2958" t="s">
        <v>6310</v>
      </c>
      <c r="D2958" s="8" t="s">
        <v>6311</v>
      </c>
    </row>
    <row r="2959" spans="1:4" x14ac:dyDescent="0.35">
      <c r="A2959" t="s">
        <v>6998</v>
      </c>
      <c r="B2959" s="8" t="s">
        <v>2237</v>
      </c>
      <c r="C2959" t="s">
        <v>6949</v>
      </c>
      <c r="D2959" s="8" t="s">
        <v>6950</v>
      </c>
    </row>
    <row r="2960" spans="1:4" x14ac:dyDescent="0.35">
      <c r="A2960" t="s">
        <v>6999</v>
      </c>
      <c r="B2960" s="8" t="s">
        <v>2209</v>
      </c>
      <c r="C2960" t="s">
        <v>6310</v>
      </c>
      <c r="D2960" s="8" t="s">
        <v>6311</v>
      </c>
    </row>
    <row r="2961" spans="1:4" x14ac:dyDescent="0.35">
      <c r="A2961" t="s">
        <v>7000</v>
      </c>
      <c r="B2961" s="8" t="s">
        <v>2210</v>
      </c>
      <c r="C2961" t="s">
        <v>6310</v>
      </c>
      <c r="D2961" s="8" t="s">
        <v>6311</v>
      </c>
    </row>
    <row r="2962" spans="1:4" x14ac:dyDescent="0.35">
      <c r="A2962" t="s">
        <v>2211</v>
      </c>
      <c r="B2962" s="8" t="s">
        <v>2212</v>
      </c>
      <c r="C2962" t="s">
        <v>6163</v>
      </c>
      <c r="D2962" s="8" t="s">
        <v>6164</v>
      </c>
    </row>
    <row r="2963" spans="1:4" x14ac:dyDescent="0.35">
      <c r="A2963" t="s">
        <v>2213</v>
      </c>
      <c r="B2963" s="8" t="s">
        <v>2214</v>
      </c>
      <c r="C2963" t="s">
        <v>6949</v>
      </c>
      <c r="D2963" s="8" t="s">
        <v>6950</v>
      </c>
    </row>
    <row r="2964" spans="1:4" x14ac:dyDescent="0.35">
      <c r="A2964" t="s">
        <v>2215</v>
      </c>
      <c r="B2964" s="8" t="s">
        <v>2216</v>
      </c>
      <c r="C2964" t="s">
        <v>6914</v>
      </c>
      <c r="D2964" s="8" t="s">
        <v>6915</v>
      </c>
    </row>
    <row r="2965" spans="1:4" x14ac:dyDescent="0.35">
      <c r="A2965" t="s">
        <v>2215</v>
      </c>
      <c r="B2965" s="8" t="s">
        <v>2216</v>
      </c>
      <c r="C2965" t="s">
        <v>6949</v>
      </c>
      <c r="D2965" s="8" t="s">
        <v>6950</v>
      </c>
    </row>
    <row r="2966" spans="1:4" x14ac:dyDescent="0.35">
      <c r="A2966" t="s">
        <v>2217</v>
      </c>
      <c r="B2966" s="8" t="s">
        <v>2219</v>
      </c>
      <c r="C2966" t="s">
        <v>6914</v>
      </c>
      <c r="D2966" s="8" t="s">
        <v>6915</v>
      </c>
    </row>
    <row r="2967" spans="1:4" x14ac:dyDescent="0.35">
      <c r="A2967" t="s">
        <v>2217</v>
      </c>
      <c r="B2967" s="8" t="s">
        <v>2219</v>
      </c>
      <c r="C2967" t="s">
        <v>6949</v>
      </c>
      <c r="D2967" s="8" t="s">
        <v>6950</v>
      </c>
    </row>
    <row r="2968" spans="1:4" x14ac:dyDescent="0.35">
      <c r="A2968" t="s">
        <v>7001</v>
      </c>
      <c r="B2968" s="8" t="s">
        <v>2220</v>
      </c>
      <c r="C2968" t="s">
        <v>6916</v>
      </c>
      <c r="D2968" s="8" t="s">
        <v>6917</v>
      </c>
    </row>
    <row r="2969" spans="1:4" x14ac:dyDescent="0.35">
      <c r="A2969" t="s">
        <v>7002</v>
      </c>
      <c r="B2969" s="8" t="s">
        <v>2221</v>
      </c>
      <c r="C2969" t="s">
        <v>6916</v>
      </c>
      <c r="D2969" s="8" t="s">
        <v>6917</v>
      </c>
    </row>
    <row r="2970" spans="1:4" x14ac:dyDescent="0.35">
      <c r="A2970" t="s">
        <v>2222</v>
      </c>
      <c r="B2970" s="8" t="s">
        <v>2223</v>
      </c>
      <c r="C2970" t="s">
        <v>6914</v>
      </c>
      <c r="D2970" s="8" t="s">
        <v>6915</v>
      </c>
    </row>
    <row r="2971" spans="1:4" x14ac:dyDescent="0.35">
      <c r="A2971" t="s">
        <v>2222</v>
      </c>
      <c r="B2971" s="8" t="s">
        <v>2223</v>
      </c>
      <c r="C2971" t="s">
        <v>6949</v>
      </c>
      <c r="D2971" s="8" t="s">
        <v>6950</v>
      </c>
    </row>
    <row r="2972" spans="1:4" x14ac:dyDescent="0.35">
      <c r="A2972" t="s">
        <v>2224</v>
      </c>
      <c r="B2972" s="8" t="s">
        <v>2225</v>
      </c>
      <c r="C2972" t="s">
        <v>6949</v>
      </c>
      <c r="D2972" s="8" t="s">
        <v>6950</v>
      </c>
    </row>
    <row r="2973" spans="1:4" x14ac:dyDescent="0.35">
      <c r="A2973" t="s">
        <v>2224</v>
      </c>
      <c r="B2973" s="8" t="s">
        <v>2225</v>
      </c>
      <c r="C2973" t="s">
        <v>7003</v>
      </c>
      <c r="D2973" s="8" t="s">
        <v>7004</v>
      </c>
    </row>
    <row r="2974" spans="1:4" x14ac:dyDescent="0.35">
      <c r="A2974" t="s">
        <v>7005</v>
      </c>
      <c r="B2974" s="8" t="s">
        <v>2226</v>
      </c>
      <c r="C2974" t="s">
        <v>6914</v>
      </c>
      <c r="D2974" s="8" t="s">
        <v>6915</v>
      </c>
    </row>
    <row r="2975" spans="1:4" x14ac:dyDescent="0.35">
      <c r="A2975" t="s">
        <v>7005</v>
      </c>
      <c r="B2975" s="8" t="s">
        <v>2226</v>
      </c>
      <c r="C2975" t="s">
        <v>6949</v>
      </c>
      <c r="D2975" s="8" t="s">
        <v>6950</v>
      </c>
    </row>
    <row r="2976" spans="1:4" x14ac:dyDescent="0.35">
      <c r="A2976" t="s">
        <v>7005</v>
      </c>
      <c r="B2976" s="8" t="s">
        <v>2226</v>
      </c>
      <c r="C2976" t="s">
        <v>7003</v>
      </c>
      <c r="D2976" s="8" t="s">
        <v>7004</v>
      </c>
    </row>
    <row r="2977" spans="1:4" x14ac:dyDescent="0.35">
      <c r="A2977" t="s">
        <v>7006</v>
      </c>
      <c r="B2977" s="8" t="s">
        <v>2227</v>
      </c>
      <c r="C2977" t="s">
        <v>6914</v>
      </c>
      <c r="D2977" s="8" t="s">
        <v>6915</v>
      </c>
    </row>
    <row r="2978" spans="1:4" x14ac:dyDescent="0.35">
      <c r="A2978" t="s">
        <v>7006</v>
      </c>
      <c r="B2978" s="8" t="s">
        <v>2227</v>
      </c>
      <c r="C2978" t="s">
        <v>6916</v>
      </c>
      <c r="D2978" s="8" t="s">
        <v>6917</v>
      </c>
    </row>
    <row r="2979" spans="1:4" x14ac:dyDescent="0.35">
      <c r="A2979" t="s">
        <v>2228</v>
      </c>
      <c r="B2979" s="8" t="s">
        <v>2229</v>
      </c>
      <c r="C2979" t="s">
        <v>7007</v>
      </c>
      <c r="D2979" s="8" t="s">
        <v>7008</v>
      </c>
    </row>
    <row r="2980" spans="1:4" x14ac:dyDescent="0.35">
      <c r="A2980" t="s">
        <v>2228</v>
      </c>
      <c r="B2980" s="8" t="s">
        <v>2229</v>
      </c>
      <c r="C2980" t="s">
        <v>6949</v>
      </c>
      <c r="D2980" s="8" t="s">
        <v>6950</v>
      </c>
    </row>
    <row r="2981" spans="1:4" x14ac:dyDescent="0.35">
      <c r="A2981" t="s">
        <v>2230</v>
      </c>
      <c r="B2981" s="8" t="s">
        <v>2231</v>
      </c>
      <c r="C2981" t="s">
        <v>7007</v>
      </c>
      <c r="D2981" s="8" t="s">
        <v>7008</v>
      </c>
    </row>
    <row r="2982" spans="1:4" x14ac:dyDescent="0.35">
      <c r="A2982" t="s">
        <v>2230</v>
      </c>
      <c r="B2982" s="8" t="s">
        <v>2231</v>
      </c>
      <c r="C2982" t="s">
        <v>6949</v>
      </c>
      <c r="D2982" s="8" t="s">
        <v>6950</v>
      </c>
    </row>
    <row r="2983" spans="1:4" x14ac:dyDescent="0.35">
      <c r="A2983" t="s">
        <v>2232</v>
      </c>
      <c r="B2983" s="8" t="s">
        <v>2233</v>
      </c>
      <c r="C2983" t="s">
        <v>7007</v>
      </c>
      <c r="D2983" s="8" t="s">
        <v>7008</v>
      </c>
    </row>
    <row r="2984" spans="1:4" x14ac:dyDescent="0.35">
      <c r="A2984" t="s">
        <v>2232</v>
      </c>
      <c r="B2984" s="8" t="s">
        <v>2233</v>
      </c>
      <c r="C2984" t="s">
        <v>6949</v>
      </c>
      <c r="D2984" s="8" t="s">
        <v>6950</v>
      </c>
    </row>
    <row r="2985" spans="1:4" x14ac:dyDescent="0.35">
      <c r="A2985" t="s">
        <v>2234</v>
      </c>
      <c r="B2985" s="8" t="s">
        <v>2235</v>
      </c>
      <c r="C2985" t="s">
        <v>7007</v>
      </c>
      <c r="D2985" s="8" t="s">
        <v>7008</v>
      </c>
    </row>
    <row r="2986" spans="1:4" x14ac:dyDescent="0.35">
      <c r="A2986" t="s">
        <v>2234</v>
      </c>
      <c r="B2986" s="8" t="s">
        <v>2235</v>
      </c>
      <c r="C2986" t="s">
        <v>6949</v>
      </c>
      <c r="D2986" s="8" t="s">
        <v>6950</v>
      </c>
    </row>
    <row r="2987" spans="1:4" x14ac:dyDescent="0.35">
      <c r="A2987" t="s">
        <v>2238</v>
      </c>
      <c r="B2987" s="8" t="s">
        <v>2239</v>
      </c>
      <c r="C2987" t="s">
        <v>7007</v>
      </c>
      <c r="D2987" s="8" t="s">
        <v>7008</v>
      </c>
    </row>
    <row r="2988" spans="1:4" x14ac:dyDescent="0.35">
      <c r="A2988" t="s">
        <v>2238</v>
      </c>
      <c r="B2988" s="8" t="s">
        <v>2239</v>
      </c>
      <c r="C2988" t="s">
        <v>6916</v>
      </c>
      <c r="D2988" s="8" t="s">
        <v>6917</v>
      </c>
    </row>
    <row r="2989" spans="1:4" x14ac:dyDescent="0.35">
      <c r="A2989" t="s">
        <v>2238</v>
      </c>
      <c r="B2989" s="8" t="s">
        <v>2239</v>
      </c>
      <c r="C2989" t="s">
        <v>6949</v>
      </c>
      <c r="D2989" s="8" t="s">
        <v>6950</v>
      </c>
    </row>
    <row r="2990" spans="1:4" x14ac:dyDescent="0.35">
      <c r="A2990" t="s">
        <v>2240</v>
      </c>
      <c r="B2990" s="8" t="s">
        <v>2241</v>
      </c>
      <c r="C2990" t="s">
        <v>6956</v>
      </c>
      <c r="D2990" s="8" t="s">
        <v>6957</v>
      </c>
    </row>
    <row r="2991" spans="1:4" x14ac:dyDescent="0.35">
      <c r="A2991" t="s">
        <v>2240</v>
      </c>
      <c r="B2991" s="8" t="s">
        <v>2241</v>
      </c>
      <c r="C2991" t="s">
        <v>6780</v>
      </c>
      <c r="D2991" s="8" t="s">
        <v>6781</v>
      </c>
    </row>
    <row r="2992" spans="1:4" x14ac:dyDescent="0.35">
      <c r="A2992" t="s">
        <v>2240</v>
      </c>
      <c r="B2992" s="8" t="s">
        <v>2241</v>
      </c>
      <c r="C2992" t="s">
        <v>7007</v>
      </c>
      <c r="D2992" s="8" t="s">
        <v>7008</v>
      </c>
    </row>
    <row r="2993" spans="1:4" x14ac:dyDescent="0.35">
      <c r="A2993" t="s">
        <v>2240</v>
      </c>
      <c r="B2993" s="8" t="s">
        <v>2241</v>
      </c>
      <c r="C2993" t="s">
        <v>6914</v>
      </c>
      <c r="D2993" s="8" t="s">
        <v>6915</v>
      </c>
    </row>
    <row r="2994" spans="1:4" x14ac:dyDescent="0.35">
      <c r="A2994" t="s">
        <v>2240</v>
      </c>
      <c r="B2994" s="8" t="s">
        <v>2241</v>
      </c>
      <c r="C2994" t="s">
        <v>6916</v>
      </c>
      <c r="D2994" s="8" t="s">
        <v>6917</v>
      </c>
    </row>
    <row r="2995" spans="1:4" x14ac:dyDescent="0.35">
      <c r="A2995" t="s">
        <v>2240</v>
      </c>
      <c r="B2995" s="8" t="s">
        <v>2241</v>
      </c>
      <c r="C2995" t="s">
        <v>6949</v>
      </c>
      <c r="D2995" s="8" t="s">
        <v>6950</v>
      </c>
    </row>
    <row r="2996" spans="1:4" x14ac:dyDescent="0.35">
      <c r="A2996" t="s">
        <v>2242</v>
      </c>
      <c r="B2996" s="8" t="s">
        <v>2243</v>
      </c>
      <c r="C2996" t="s">
        <v>7007</v>
      </c>
      <c r="D2996" s="8" t="s">
        <v>7008</v>
      </c>
    </row>
    <row r="2997" spans="1:4" x14ac:dyDescent="0.35">
      <c r="A2997" t="s">
        <v>2242</v>
      </c>
      <c r="B2997" s="8" t="s">
        <v>2243</v>
      </c>
      <c r="C2997" t="s">
        <v>6914</v>
      </c>
      <c r="D2997" s="8" t="s">
        <v>6915</v>
      </c>
    </row>
    <row r="2998" spans="1:4" x14ac:dyDescent="0.35">
      <c r="A2998" t="s">
        <v>2244</v>
      </c>
      <c r="B2998" s="8" t="s">
        <v>2245</v>
      </c>
      <c r="C2998" t="s">
        <v>6914</v>
      </c>
      <c r="D2998" s="8" t="s">
        <v>6915</v>
      </c>
    </row>
    <row r="2999" spans="1:4" x14ac:dyDescent="0.35">
      <c r="A2999" t="s">
        <v>2244</v>
      </c>
      <c r="B2999" s="8" t="s">
        <v>2245</v>
      </c>
      <c r="C2999" t="s">
        <v>6916</v>
      </c>
      <c r="D2999" s="8" t="s">
        <v>6917</v>
      </c>
    </row>
    <row r="3000" spans="1:4" x14ac:dyDescent="0.35">
      <c r="A3000" t="s">
        <v>2244</v>
      </c>
      <c r="B3000" s="8" t="s">
        <v>2245</v>
      </c>
      <c r="C3000" t="s">
        <v>6949</v>
      </c>
      <c r="D3000" s="8" t="s">
        <v>6950</v>
      </c>
    </row>
    <row r="3001" spans="1:4" x14ac:dyDescent="0.35">
      <c r="A3001" t="s">
        <v>2246</v>
      </c>
      <c r="B3001" s="8" t="s">
        <v>7009</v>
      </c>
      <c r="C3001" t="s">
        <v>6914</v>
      </c>
      <c r="D3001" s="8" t="s">
        <v>6915</v>
      </c>
    </row>
    <row r="3002" spans="1:4" x14ac:dyDescent="0.35">
      <c r="A3002" t="s">
        <v>2246</v>
      </c>
      <c r="B3002" s="8" t="s">
        <v>7009</v>
      </c>
      <c r="C3002" t="s">
        <v>6916</v>
      </c>
      <c r="D3002" s="8" t="s">
        <v>6917</v>
      </c>
    </row>
    <row r="3003" spans="1:4" x14ac:dyDescent="0.35">
      <c r="A3003" t="s">
        <v>2248</v>
      </c>
      <c r="B3003" s="8" t="s">
        <v>2249</v>
      </c>
      <c r="C3003" t="s">
        <v>6914</v>
      </c>
      <c r="D3003" s="8" t="s">
        <v>6915</v>
      </c>
    </row>
    <row r="3004" spans="1:4" x14ac:dyDescent="0.35">
      <c r="A3004" t="s">
        <v>2248</v>
      </c>
      <c r="B3004" s="8" t="s">
        <v>2249</v>
      </c>
      <c r="C3004" t="s">
        <v>6916</v>
      </c>
      <c r="D3004" s="8" t="s">
        <v>6917</v>
      </c>
    </row>
    <row r="3005" spans="1:4" x14ac:dyDescent="0.35">
      <c r="A3005" t="s">
        <v>7010</v>
      </c>
      <c r="B3005" s="8" t="s">
        <v>2250</v>
      </c>
      <c r="C3005" t="s">
        <v>7007</v>
      </c>
      <c r="D3005" s="8" t="s">
        <v>7008</v>
      </c>
    </row>
    <row r="3006" spans="1:4" x14ac:dyDescent="0.35">
      <c r="A3006" t="s">
        <v>7010</v>
      </c>
      <c r="B3006" s="8" t="s">
        <v>2250</v>
      </c>
      <c r="C3006" t="s">
        <v>6914</v>
      </c>
      <c r="D3006" s="8" t="s">
        <v>6915</v>
      </c>
    </row>
    <row r="3007" spans="1:4" x14ac:dyDescent="0.35">
      <c r="A3007" t="s">
        <v>7010</v>
      </c>
      <c r="B3007" s="8" t="s">
        <v>2250</v>
      </c>
      <c r="C3007" t="s">
        <v>6916</v>
      </c>
      <c r="D3007" s="8" t="s">
        <v>6917</v>
      </c>
    </row>
    <row r="3008" spans="1:4" x14ac:dyDescent="0.35">
      <c r="A3008" t="s">
        <v>7010</v>
      </c>
      <c r="B3008" s="8" t="s">
        <v>2250</v>
      </c>
      <c r="C3008" t="s">
        <v>6949</v>
      </c>
      <c r="D3008" s="8" t="s">
        <v>6950</v>
      </c>
    </row>
    <row r="3009" spans="1:4" x14ac:dyDescent="0.35">
      <c r="A3009" t="s">
        <v>2251</v>
      </c>
      <c r="B3009" s="8" t="s">
        <v>2252</v>
      </c>
      <c r="C3009" t="s">
        <v>6956</v>
      </c>
      <c r="D3009" s="8" t="s">
        <v>6957</v>
      </c>
    </row>
    <row r="3010" spans="1:4" x14ac:dyDescent="0.35">
      <c r="A3010" t="s">
        <v>2251</v>
      </c>
      <c r="B3010" s="8" t="s">
        <v>2252</v>
      </c>
      <c r="C3010" t="s">
        <v>6780</v>
      </c>
      <c r="D3010" s="8" t="s">
        <v>6781</v>
      </c>
    </row>
    <row r="3011" spans="1:4" x14ac:dyDescent="0.35">
      <c r="A3011" t="s">
        <v>2251</v>
      </c>
      <c r="B3011" s="8" t="s">
        <v>2252</v>
      </c>
      <c r="C3011" t="s">
        <v>6914</v>
      </c>
      <c r="D3011" s="8" t="s">
        <v>6915</v>
      </c>
    </row>
    <row r="3012" spans="1:4" x14ac:dyDescent="0.35">
      <c r="A3012" t="s">
        <v>2251</v>
      </c>
      <c r="B3012" s="8" t="s">
        <v>2252</v>
      </c>
      <c r="C3012" t="s">
        <v>6916</v>
      </c>
      <c r="D3012" s="8" t="s">
        <v>6917</v>
      </c>
    </row>
    <row r="3013" spans="1:4" x14ac:dyDescent="0.35">
      <c r="A3013" t="s">
        <v>7011</v>
      </c>
      <c r="B3013" s="8" t="s">
        <v>2253</v>
      </c>
      <c r="C3013" t="s">
        <v>6243</v>
      </c>
      <c r="D3013" s="8" t="s">
        <v>6244</v>
      </c>
    </row>
    <row r="3014" spans="1:4" x14ac:dyDescent="0.35">
      <c r="A3014" t="s">
        <v>7011</v>
      </c>
      <c r="B3014" s="8" t="s">
        <v>2253</v>
      </c>
      <c r="C3014" t="s">
        <v>6866</v>
      </c>
      <c r="D3014" s="8" t="s">
        <v>6867</v>
      </c>
    </row>
    <row r="3015" spans="1:4" x14ac:dyDescent="0.35">
      <c r="A3015" t="s">
        <v>7012</v>
      </c>
      <c r="B3015" s="8" t="s">
        <v>2254</v>
      </c>
      <c r="C3015" t="s">
        <v>6916</v>
      </c>
      <c r="D3015" s="8" t="s">
        <v>6917</v>
      </c>
    </row>
    <row r="3016" spans="1:4" x14ac:dyDescent="0.35">
      <c r="A3016" t="s">
        <v>7012</v>
      </c>
      <c r="B3016" s="8" t="s">
        <v>2254</v>
      </c>
      <c r="C3016" t="s">
        <v>6806</v>
      </c>
      <c r="D3016" s="8" t="s">
        <v>6807</v>
      </c>
    </row>
    <row r="3017" spans="1:4" x14ac:dyDescent="0.35">
      <c r="A3017" t="s">
        <v>7012</v>
      </c>
      <c r="B3017" s="8" t="s">
        <v>2254</v>
      </c>
      <c r="C3017" t="s">
        <v>6949</v>
      </c>
      <c r="D3017" s="8" t="s">
        <v>6950</v>
      </c>
    </row>
    <row r="3018" spans="1:4" x14ac:dyDescent="0.35">
      <c r="A3018" t="s">
        <v>7013</v>
      </c>
      <c r="B3018" s="8" t="s">
        <v>2255</v>
      </c>
      <c r="C3018" t="s">
        <v>6163</v>
      </c>
      <c r="D3018" s="8" t="s">
        <v>6164</v>
      </c>
    </row>
    <row r="3019" spans="1:4" x14ac:dyDescent="0.35">
      <c r="A3019" t="s">
        <v>2256</v>
      </c>
      <c r="B3019" s="8" t="s">
        <v>2257</v>
      </c>
      <c r="C3019" t="s">
        <v>6163</v>
      </c>
      <c r="D3019" s="8" t="s">
        <v>6164</v>
      </c>
    </row>
    <row r="3020" spans="1:4" x14ac:dyDescent="0.35">
      <c r="A3020" t="s">
        <v>2258</v>
      </c>
      <c r="B3020" s="8" t="s">
        <v>2260</v>
      </c>
      <c r="C3020" t="s">
        <v>6644</v>
      </c>
      <c r="D3020" s="8" t="s">
        <v>6645</v>
      </c>
    </row>
    <row r="3021" spans="1:4" x14ac:dyDescent="0.35">
      <c r="A3021" t="s">
        <v>2258</v>
      </c>
      <c r="B3021" s="8" t="s">
        <v>2260</v>
      </c>
      <c r="C3021" t="s">
        <v>6514</v>
      </c>
      <c r="D3021" s="8" t="s">
        <v>6515</v>
      </c>
    </row>
    <row r="3022" spans="1:4" x14ac:dyDescent="0.35">
      <c r="A3022" t="s">
        <v>2261</v>
      </c>
      <c r="B3022" s="8" t="s">
        <v>2262</v>
      </c>
      <c r="C3022" t="s">
        <v>6644</v>
      </c>
      <c r="D3022" s="8" t="s">
        <v>6645</v>
      </c>
    </row>
    <row r="3023" spans="1:4" x14ac:dyDescent="0.35">
      <c r="A3023" t="s">
        <v>2261</v>
      </c>
      <c r="B3023" s="8" t="s">
        <v>2262</v>
      </c>
      <c r="C3023" t="s">
        <v>7014</v>
      </c>
      <c r="D3023" s="8" t="s">
        <v>7015</v>
      </c>
    </row>
    <row r="3024" spans="1:4" x14ac:dyDescent="0.35">
      <c r="A3024" t="s">
        <v>2261</v>
      </c>
      <c r="B3024" s="8" t="s">
        <v>2262</v>
      </c>
      <c r="C3024" t="s">
        <v>6590</v>
      </c>
      <c r="D3024" s="8" t="s">
        <v>6591</v>
      </c>
    </row>
    <row r="3025" spans="1:4" x14ac:dyDescent="0.35">
      <c r="A3025" t="s">
        <v>2263</v>
      </c>
      <c r="B3025" s="8" t="s">
        <v>2264</v>
      </c>
      <c r="C3025" t="s">
        <v>6644</v>
      </c>
      <c r="D3025" s="8" t="s">
        <v>6645</v>
      </c>
    </row>
    <row r="3026" spans="1:4" x14ac:dyDescent="0.35">
      <c r="A3026" t="s">
        <v>2263</v>
      </c>
      <c r="B3026" s="8" t="s">
        <v>2264</v>
      </c>
      <c r="C3026" t="s">
        <v>7014</v>
      </c>
      <c r="D3026" s="8" t="s">
        <v>7015</v>
      </c>
    </row>
    <row r="3027" spans="1:4" x14ac:dyDescent="0.35">
      <c r="A3027" t="s">
        <v>2263</v>
      </c>
      <c r="B3027" s="8" t="s">
        <v>2264</v>
      </c>
      <c r="C3027" t="s">
        <v>6646</v>
      </c>
      <c r="D3027" s="8" t="s">
        <v>6647</v>
      </c>
    </row>
    <row r="3028" spans="1:4" x14ac:dyDescent="0.35">
      <c r="A3028" t="s">
        <v>2263</v>
      </c>
      <c r="B3028" s="8" t="s">
        <v>2264</v>
      </c>
      <c r="C3028" t="s">
        <v>6590</v>
      </c>
      <c r="D3028" s="8" t="s">
        <v>6591</v>
      </c>
    </row>
    <row r="3029" spans="1:4" x14ac:dyDescent="0.35">
      <c r="A3029" t="s">
        <v>2265</v>
      </c>
      <c r="B3029" s="8" t="s">
        <v>2266</v>
      </c>
      <c r="C3029" t="s">
        <v>6644</v>
      </c>
      <c r="D3029" s="8" t="s">
        <v>6645</v>
      </c>
    </row>
    <row r="3030" spans="1:4" x14ac:dyDescent="0.35">
      <c r="A3030" t="s">
        <v>2265</v>
      </c>
      <c r="B3030" s="8" t="s">
        <v>2266</v>
      </c>
      <c r="C3030" t="s">
        <v>7014</v>
      </c>
      <c r="D3030" s="8" t="s">
        <v>7015</v>
      </c>
    </row>
    <row r="3031" spans="1:4" x14ac:dyDescent="0.35">
      <c r="A3031" t="s">
        <v>2265</v>
      </c>
      <c r="B3031" s="8" t="s">
        <v>2266</v>
      </c>
      <c r="C3031" t="s">
        <v>6590</v>
      </c>
      <c r="D3031" s="8" t="s">
        <v>6591</v>
      </c>
    </row>
    <row r="3032" spans="1:4" x14ac:dyDescent="0.35">
      <c r="A3032" t="s">
        <v>2267</v>
      </c>
      <c r="B3032" s="8" t="s">
        <v>2268</v>
      </c>
      <c r="C3032" t="s">
        <v>6644</v>
      </c>
      <c r="D3032" s="8" t="s">
        <v>6645</v>
      </c>
    </row>
    <row r="3033" spans="1:4" x14ac:dyDescent="0.35">
      <c r="A3033" t="s">
        <v>2267</v>
      </c>
      <c r="B3033" s="8" t="s">
        <v>2268</v>
      </c>
      <c r="C3033" t="s">
        <v>7014</v>
      </c>
      <c r="D3033" s="8" t="s">
        <v>7015</v>
      </c>
    </row>
    <row r="3034" spans="1:4" x14ac:dyDescent="0.35">
      <c r="A3034" t="s">
        <v>2267</v>
      </c>
      <c r="B3034" s="8" t="s">
        <v>2268</v>
      </c>
      <c r="C3034" t="s">
        <v>6590</v>
      </c>
      <c r="D3034" s="8" t="s">
        <v>6591</v>
      </c>
    </row>
    <row r="3035" spans="1:4" x14ac:dyDescent="0.35">
      <c r="A3035" t="s">
        <v>2267</v>
      </c>
      <c r="B3035" s="8" t="s">
        <v>2268</v>
      </c>
      <c r="C3035" t="s">
        <v>6594</v>
      </c>
      <c r="D3035" s="8" t="s">
        <v>6595</v>
      </c>
    </row>
    <row r="3036" spans="1:4" x14ac:dyDescent="0.35">
      <c r="A3036" t="s">
        <v>2269</v>
      </c>
      <c r="B3036" s="8" t="s">
        <v>2270</v>
      </c>
      <c r="C3036" t="s">
        <v>6644</v>
      </c>
      <c r="D3036" s="8" t="s">
        <v>6645</v>
      </c>
    </row>
    <row r="3037" spans="1:4" x14ac:dyDescent="0.35">
      <c r="A3037" t="s">
        <v>2269</v>
      </c>
      <c r="B3037" s="8" t="s">
        <v>2270</v>
      </c>
      <c r="C3037" t="s">
        <v>6925</v>
      </c>
      <c r="D3037" s="8" t="s">
        <v>6926</v>
      </c>
    </row>
    <row r="3038" spans="1:4" x14ac:dyDescent="0.35">
      <c r="A3038" t="s">
        <v>2269</v>
      </c>
      <c r="B3038" s="8" t="s">
        <v>2270</v>
      </c>
      <c r="C3038" t="s">
        <v>7016</v>
      </c>
      <c r="D3038" s="8" t="s">
        <v>7017</v>
      </c>
    </row>
    <row r="3039" spans="1:4" x14ac:dyDescent="0.35">
      <c r="A3039" t="s">
        <v>2269</v>
      </c>
      <c r="B3039" s="8" t="s">
        <v>2270</v>
      </c>
      <c r="C3039" t="s">
        <v>6590</v>
      </c>
      <c r="D3039" s="8" t="s">
        <v>6591</v>
      </c>
    </row>
    <row r="3040" spans="1:4" x14ac:dyDescent="0.35">
      <c r="A3040" t="s">
        <v>2271</v>
      </c>
      <c r="B3040" s="8" t="s">
        <v>2272</v>
      </c>
      <c r="C3040" t="s">
        <v>6644</v>
      </c>
      <c r="D3040" s="8" t="s">
        <v>6645</v>
      </c>
    </row>
    <row r="3041" spans="1:4" x14ac:dyDescent="0.35">
      <c r="A3041" t="s">
        <v>2271</v>
      </c>
      <c r="B3041" s="8" t="s">
        <v>2272</v>
      </c>
      <c r="C3041" t="s">
        <v>6925</v>
      </c>
      <c r="D3041" s="8" t="s">
        <v>6926</v>
      </c>
    </row>
    <row r="3042" spans="1:4" x14ac:dyDescent="0.35">
      <c r="A3042" t="s">
        <v>2271</v>
      </c>
      <c r="B3042" s="8" t="s">
        <v>2272</v>
      </c>
      <c r="C3042" t="s">
        <v>6590</v>
      </c>
      <c r="D3042" s="8" t="s">
        <v>6591</v>
      </c>
    </row>
    <row r="3043" spans="1:4" x14ac:dyDescent="0.35">
      <c r="A3043" t="s">
        <v>2273</v>
      </c>
      <c r="B3043" s="8" t="s">
        <v>2274</v>
      </c>
      <c r="C3043" t="s">
        <v>6644</v>
      </c>
      <c r="D3043" s="8" t="s">
        <v>6645</v>
      </c>
    </row>
    <row r="3044" spans="1:4" x14ac:dyDescent="0.35">
      <c r="A3044" t="s">
        <v>2273</v>
      </c>
      <c r="B3044" s="8" t="s">
        <v>2274</v>
      </c>
      <c r="C3044" t="s">
        <v>6925</v>
      </c>
      <c r="D3044" s="8" t="s">
        <v>6926</v>
      </c>
    </row>
    <row r="3045" spans="1:4" x14ac:dyDescent="0.35">
      <c r="A3045" t="s">
        <v>2273</v>
      </c>
      <c r="B3045" s="8" t="s">
        <v>2274</v>
      </c>
      <c r="C3045" t="s">
        <v>6590</v>
      </c>
      <c r="D3045" s="8" t="s">
        <v>6591</v>
      </c>
    </row>
    <row r="3046" spans="1:4" x14ac:dyDescent="0.35">
      <c r="A3046" t="s">
        <v>2275</v>
      </c>
      <c r="B3046" s="8" t="s">
        <v>2276</v>
      </c>
      <c r="C3046" t="s">
        <v>6644</v>
      </c>
      <c r="D3046" s="8" t="s">
        <v>6645</v>
      </c>
    </row>
    <row r="3047" spans="1:4" x14ac:dyDescent="0.35">
      <c r="A3047" t="s">
        <v>2275</v>
      </c>
      <c r="B3047" s="8" t="s">
        <v>2276</v>
      </c>
      <c r="C3047" t="s">
        <v>6925</v>
      </c>
      <c r="D3047" s="8" t="s">
        <v>6926</v>
      </c>
    </row>
    <row r="3048" spans="1:4" x14ac:dyDescent="0.35">
      <c r="A3048" t="s">
        <v>2275</v>
      </c>
      <c r="B3048" s="8" t="s">
        <v>2276</v>
      </c>
      <c r="C3048" t="s">
        <v>6590</v>
      </c>
      <c r="D3048" s="8" t="s">
        <v>6591</v>
      </c>
    </row>
    <row r="3049" spans="1:4" x14ac:dyDescent="0.35">
      <c r="A3049" t="s">
        <v>2277</v>
      </c>
      <c r="B3049" s="8" t="s">
        <v>2278</v>
      </c>
      <c r="C3049" t="s">
        <v>6644</v>
      </c>
      <c r="D3049" s="8" t="s">
        <v>6645</v>
      </c>
    </row>
    <row r="3050" spans="1:4" x14ac:dyDescent="0.35">
      <c r="A3050" t="s">
        <v>2277</v>
      </c>
      <c r="B3050" s="8" t="s">
        <v>2278</v>
      </c>
      <c r="C3050" t="s">
        <v>6925</v>
      </c>
      <c r="D3050" s="8" t="s">
        <v>6926</v>
      </c>
    </row>
    <row r="3051" spans="1:4" x14ac:dyDescent="0.35">
      <c r="A3051" t="s">
        <v>2277</v>
      </c>
      <c r="B3051" s="8" t="s">
        <v>2278</v>
      </c>
      <c r="C3051" t="s">
        <v>6590</v>
      </c>
      <c r="D3051" s="8" t="s">
        <v>6591</v>
      </c>
    </row>
    <row r="3052" spans="1:4" x14ac:dyDescent="0.35">
      <c r="A3052" t="s">
        <v>2279</v>
      </c>
      <c r="B3052" s="8" t="s">
        <v>2280</v>
      </c>
      <c r="C3052" t="s">
        <v>6644</v>
      </c>
      <c r="D3052" s="8" t="s">
        <v>6645</v>
      </c>
    </row>
    <row r="3053" spans="1:4" x14ac:dyDescent="0.35">
      <c r="A3053" t="s">
        <v>2279</v>
      </c>
      <c r="B3053" s="8" t="s">
        <v>2280</v>
      </c>
      <c r="C3053" t="s">
        <v>7018</v>
      </c>
      <c r="D3053" s="8" t="s">
        <v>7019</v>
      </c>
    </row>
    <row r="3054" spans="1:4" x14ac:dyDescent="0.35">
      <c r="A3054" t="s">
        <v>2279</v>
      </c>
      <c r="B3054" s="8" t="s">
        <v>2280</v>
      </c>
      <c r="C3054" t="s">
        <v>6155</v>
      </c>
      <c r="D3054" s="8" t="s">
        <v>6156</v>
      </c>
    </row>
    <row r="3055" spans="1:4" x14ac:dyDescent="0.35">
      <c r="A3055" t="s">
        <v>2279</v>
      </c>
      <c r="B3055" s="8" t="s">
        <v>2280</v>
      </c>
      <c r="C3055" t="s">
        <v>7020</v>
      </c>
      <c r="D3055" s="8" t="s">
        <v>7021</v>
      </c>
    </row>
    <row r="3056" spans="1:4" x14ac:dyDescent="0.35">
      <c r="A3056" t="s">
        <v>2279</v>
      </c>
      <c r="B3056" s="8" t="s">
        <v>2280</v>
      </c>
      <c r="C3056" t="s">
        <v>6839</v>
      </c>
      <c r="D3056" s="8" t="s">
        <v>6840</v>
      </c>
    </row>
    <row r="3057" spans="1:4" x14ac:dyDescent="0.35">
      <c r="A3057" t="s">
        <v>2279</v>
      </c>
      <c r="B3057" s="8" t="s">
        <v>2280</v>
      </c>
      <c r="C3057" t="s">
        <v>6592</v>
      </c>
      <c r="D3057" s="8" t="s">
        <v>6593</v>
      </c>
    </row>
    <row r="3058" spans="1:4" x14ac:dyDescent="0.35">
      <c r="A3058" t="s">
        <v>2279</v>
      </c>
      <c r="B3058" s="8" t="s">
        <v>2280</v>
      </c>
      <c r="C3058" t="s">
        <v>6514</v>
      </c>
      <c r="D3058" s="8" t="s">
        <v>6515</v>
      </c>
    </row>
    <row r="3059" spans="1:4" x14ac:dyDescent="0.35">
      <c r="A3059" t="s">
        <v>2281</v>
      </c>
      <c r="B3059" s="8" t="s">
        <v>2282</v>
      </c>
      <c r="C3059" t="s">
        <v>6644</v>
      </c>
      <c r="D3059" s="8" t="s">
        <v>6645</v>
      </c>
    </row>
    <row r="3060" spans="1:4" x14ac:dyDescent="0.35">
      <c r="A3060" t="s">
        <v>2281</v>
      </c>
      <c r="B3060" s="8" t="s">
        <v>2282</v>
      </c>
      <c r="C3060" t="s">
        <v>7018</v>
      </c>
      <c r="D3060" s="8" t="s">
        <v>7019</v>
      </c>
    </row>
    <row r="3061" spans="1:4" x14ac:dyDescent="0.35">
      <c r="A3061" t="s">
        <v>2281</v>
      </c>
      <c r="B3061" s="8" t="s">
        <v>2282</v>
      </c>
      <c r="C3061" t="s">
        <v>7020</v>
      </c>
      <c r="D3061" s="8" t="s">
        <v>7021</v>
      </c>
    </row>
    <row r="3062" spans="1:4" x14ac:dyDescent="0.35">
      <c r="A3062" t="s">
        <v>2281</v>
      </c>
      <c r="B3062" s="8" t="s">
        <v>2282</v>
      </c>
      <c r="C3062" t="s">
        <v>6592</v>
      </c>
      <c r="D3062" s="8" t="s">
        <v>6593</v>
      </c>
    </row>
    <row r="3063" spans="1:4" x14ac:dyDescent="0.35">
      <c r="A3063" t="s">
        <v>2283</v>
      </c>
      <c r="B3063" s="8" t="s">
        <v>2284</v>
      </c>
      <c r="C3063" t="s">
        <v>6644</v>
      </c>
      <c r="D3063" s="8" t="s">
        <v>6645</v>
      </c>
    </row>
    <row r="3064" spans="1:4" x14ac:dyDescent="0.35">
      <c r="A3064" t="s">
        <v>2283</v>
      </c>
      <c r="B3064" s="8" t="s">
        <v>2284</v>
      </c>
      <c r="C3064" t="s">
        <v>7018</v>
      </c>
      <c r="D3064" s="8" t="s">
        <v>7019</v>
      </c>
    </row>
    <row r="3065" spans="1:4" x14ac:dyDescent="0.35">
      <c r="A3065" t="s">
        <v>2283</v>
      </c>
      <c r="B3065" s="8" t="s">
        <v>2284</v>
      </c>
      <c r="C3065" t="s">
        <v>7020</v>
      </c>
      <c r="D3065" s="8" t="s">
        <v>7021</v>
      </c>
    </row>
    <row r="3066" spans="1:4" x14ac:dyDescent="0.35">
      <c r="A3066" t="s">
        <v>2283</v>
      </c>
      <c r="B3066" s="8" t="s">
        <v>2284</v>
      </c>
      <c r="C3066" t="s">
        <v>6592</v>
      </c>
      <c r="D3066" s="8" t="s">
        <v>6593</v>
      </c>
    </row>
    <row r="3067" spans="1:4" x14ac:dyDescent="0.35">
      <c r="A3067" t="s">
        <v>2285</v>
      </c>
      <c r="B3067" s="8" t="s">
        <v>2286</v>
      </c>
      <c r="C3067" t="s">
        <v>6644</v>
      </c>
      <c r="D3067" s="8" t="s">
        <v>6645</v>
      </c>
    </row>
    <row r="3068" spans="1:4" x14ac:dyDescent="0.35">
      <c r="A3068" t="s">
        <v>2285</v>
      </c>
      <c r="B3068" s="8" t="s">
        <v>2286</v>
      </c>
      <c r="C3068" t="s">
        <v>7018</v>
      </c>
      <c r="D3068" s="8" t="s">
        <v>7019</v>
      </c>
    </row>
    <row r="3069" spans="1:4" x14ac:dyDescent="0.35">
      <c r="A3069" t="s">
        <v>2285</v>
      </c>
      <c r="B3069" s="8" t="s">
        <v>2286</v>
      </c>
      <c r="C3069" t="s">
        <v>7020</v>
      </c>
      <c r="D3069" s="8" t="s">
        <v>7021</v>
      </c>
    </row>
    <row r="3070" spans="1:4" x14ac:dyDescent="0.35">
      <c r="A3070" t="s">
        <v>2285</v>
      </c>
      <c r="B3070" s="8" t="s">
        <v>2286</v>
      </c>
      <c r="C3070" t="s">
        <v>6592</v>
      </c>
      <c r="D3070" s="8" t="s">
        <v>6593</v>
      </c>
    </row>
    <row r="3071" spans="1:4" x14ac:dyDescent="0.35">
      <c r="A3071" t="s">
        <v>2287</v>
      </c>
      <c r="B3071" s="8" t="s">
        <v>2288</v>
      </c>
      <c r="C3071" t="s">
        <v>6644</v>
      </c>
      <c r="D3071" s="8" t="s">
        <v>6645</v>
      </c>
    </row>
    <row r="3072" spans="1:4" x14ac:dyDescent="0.35">
      <c r="A3072" t="s">
        <v>2287</v>
      </c>
      <c r="B3072" s="8" t="s">
        <v>2288</v>
      </c>
      <c r="C3072" t="s">
        <v>7018</v>
      </c>
      <c r="D3072" s="8" t="s">
        <v>7019</v>
      </c>
    </row>
    <row r="3073" spans="1:4" x14ac:dyDescent="0.35">
      <c r="A3073" t="s">
        <v>2287</v>
      </c>
      <c r="B3073" s="8" t="s">
        <v>2288</v>
      </c>
      <c r="C3073" t="s">
        <v>6592</v>
      </c>
      <c r="D3073" s="8" t="s">
        <v>6593</v>
      </c>
    </row>
    <row r="3074" spans="1:4" x14ac:dyDescent="0.35">
      <c r="A3074" t="s">
        <v>2289</v>
      </c>
      <c r="B3074" s="8" t="s">
        <v>2290</v>
      </c>
      <c r="C3074" t="s">
        <v>6644</v>
      </c>
      <c r="D3074" s="8" t="s">
        <v>6645</v>
      </c>
    </row>
    <row r="3075" spans="1:4" x14ac:dyDescent="0.35">
      <c r="A3075" t="s">
        <v>2289</v>
      </c>
      <c r="B3075" s="8" t="s">
        <v>2290</v>
      </c>
      <c r="C3075" t="s">
        <v>7018</v>
      </c>
      <c r="D3075" s="8" t="s">
        <v>7019</v>
      </c>
    </row>
    <row r="3076" spans="1:4" x14ac:dyDescent="0.35">
      <c r="A3076" t="s">
        <v>2289</v>
      </c>
      <c r="B3076" s="8" t="s">
        <v>2290</v>
      </c>
      <c r="C3076" t="s">
        <v>6592</v>
      </c>
      <c r="D3076" s="8" t="s">
        <v>6593</v>
      </c>
    </row>
    <row r="3077" spans="1:4" x14ac:dyDescent="0.35">
      <c r="A3077" t="s">
        <v>2291</v>
      </c>
      <c r="B3077" s="8" t="s">
        <v>2292</v>
      </c>
      <c r="C3077" t="s">
        <v>6644</v>
      </c>
      <c r="D3077" s="8" t="s">
        <v>6645</v>
      </c>
    </row>
    <row r="3078" spans="1:4" x14ac:dyDescent="0.35">
      <c r="A3078" t="s">
        <v>2291</v>
      </c>
      <c r="B3078" s="8" t="s">
        <v>2292</v>
      </c>
      <c r="C3078" t="s">
        <v>7018</v>
      </c>
      <c r="D3078" s="8" t="s">
        <v>7019</v>
      </c>
    </row>
    <row r="3079" spans="1:4" x14ac:dyDescent="0.35">
      <c r="A3079" t="s">
        <v>2291</v>
      </c>
      <c r="B3079" s="8" t="s">
        <v>2292</v>
      </c>
      <c r="C3079" t="s">
        <v>6592</v>
      </c>
      <c r="D3079" s="8" t="s">
        <v>6593</v>
      </c>
    </row>
    <row r="3080" spans="1:4" x14ac:dyDescent="0.35">
      <c r="A3080" t="s">
        <v>2291</v>
      </c>
      <c r="B3080" s="8" t="s">
        <v>2292</v>
      </c>
      <c r="C3080" t="s">
        <v>6594</v>
      </c>
      <c r="D3080" s="8" t="s">
        <v>6595</v>
      </c>
    </row>
    <row r="3081" spans="1:4" x14ac:dyDescent="0.35">
      <c r="A3081" t="s">
        <v>2293</v>
      </c>
      <c r="B3081" s="8" t="s">
        <v>2294</v>
      </c>
      <c r="C3081" t="s">
        <v>6644</v>
      </c>
      <c r="D3081" s="8" t="s">
        <v>6645</v>
      </c>
    </row>
    <row r="3082" spans="1:4" x14ac:dyDescent="0.35">
      <c r="A3082" t="s">
        <v>2293</v>
      </c>
      <c r="B3082" s="8" t="s">
        <v>2294</v>
      </c>
      <c r="C3082" t="s">
        <v>7018</v>
      </c>
      <c r="D3082" s="8" t="s">
        <v>7019</v>
      </c>
    </row>
    <row r="3083" spans="1:4" x14ac:dyDescent="0.35">
      <c r="A3083" t="s">
        <v>2293</v>
      </c>
      <c r="B3083" s="8" t="s">
        <v>2294</v>
      </c>
      <c r="C3083" t="s">
        <v>6237</v>
      </c>
      <c r="D3083" s="8" t="s">
        <v>6238</v>
      </c>
    </row>
    <row r="3084" spans="1:4" x14ac:dyDescent="0.35">
      <c r="A3084" t="s">
        <v>2293</v>
      </c>
      <c r="B3084" s="8" t="s">
        <v>2294</v>
      </c>
      <c r="C3084" t="s">
        <v>7020</v>
      </c>
      <c r="D3084" s="8" t="s">
        <v>7021</v>
      </c>
    </row>
    <row r="3085" spans="1:4" x14ac:dyDescent="0.35">
      <c r="A3085" t="s">
        <v>2293</v>
      </c>
      <c r="B3085" s="8" t="s">
        <v>2294</v>
      </c>
      <c r="C3085" t="s">
        <v>6241</v>
      </c>
      <c r="D3085" s="8" t="s">
        <v>6242</v>
      </c>
    </row>
    <row r="3086" spans="1:4" x14ac:dyDescent="0.35">
      <c r="A3086" t="s">
        <v>2293</v>
      </c>
      <c r="B3086" s="8" t="s">
        <v>2294</v>
      </c>
      <c r="C3086" t="s">
        <v>6592</v>
      </c>
      <c r="D3086" s="8" t="s">
        <v>6593</v>
      </c>
    </row>
    <row r="3087" spans="1:4" x14ac:dyDescent="0.35">
      <c r="A3087" t="s">
        <v>2293</v>
      </c>
      <c r="B3087" s="8" t="s">
        <v>2294</v>
      </c>
      <c r="C3087" t="s">
        <v>6239</v>
      </c>
      <c r="D3087" s="8" t="s">
        <v>6240</v>
      </c>
    </row>
    <row r="3088" spans="1:4" x14ac:dyDescent="0.35">
      <c r="A3088" t="s">
        <v>2295</v>
      </c>
      <c r="B3088" s="8" t="s">
        <v>2296</v>
      </c>
      <c r="C3088" t="s">
        <v>6644</v>
      </c>
      <c r="D3088" s="8" t="s">
        <v>6645</v>
      </c>
    </row>
    <row r="3089" spans="1:4" x14ac:dyDescent="0.35">
      <c r="A3089" t="s">
        <v>2295</v>
      </c>
      <c r="B3089" s="8" t="s">
        <v>2296</v>
      </c>
      <c r="C3089" t="s">
        <v>7018</v>
      </c>
      <c r="D3089" s="8" t="s">
        <v>7019</v>
      </c>
    </row>
    <row r="3090" spans="1:4" x14ac:dyDescent="0.35">
      <c r="A3090" t="s">
        <v>2295</v>
      </c>
      <c r="B3090" s="8" t="s">
        <v>2296</v>
      </c>
      <c r="C3090" t="s">
        <v>6839</v>
      </c>
      <c r="D3090" s="8" t="s">
        <v>6840</v>
      </c>
    </row>
    <row r="3091" spans="1:4" x14ac:dyDescent="0.35">
      <c r="A3091" t="s">
        <v>2295</v>
      </c>
      <c r="B3091" s="8" t="s">
        <v>2296</v>
      </c>
      <c r="C3091" t="s">
        <v>6592</v>
      </c>
      <c r="D3091" s="8" t="s">
        <v>6593</v>
      </c>
    </row>
    <row r="3092" spans="1:4" x14ac:dyDescent="0.35">
      <c r="A3092" t="s">
        <v>2297</v>
      </c>
      <c r="B3092" s="8" t="s">
        <v>2298</v>
      </c>
      <c r="C3092" t="s">
        <v>6644</v>
      </c>
      <c r="D3092" s="8" t="s">
        <v>6645</v>
      </c>
    </row>
    <row r="3093" spans="1:4" x14ac:dyDescent="0.35">
      <c r="A3093" t="s">
        <v>2297</v>
      </c>
      <c r="B3093" s="8" t="s">
        <v>2298</v>
      </c>
      <c r="C3093" t="s">
        <v>7018</v>
      </c>
      <c r="D3093" s="8" t="s">
        <v>7019</v>
      </c>
    </row>
    <row r="3094" spans="1:4" x14ac:dyDescent="0.35">
      <c r="A3094" t="s">
        <v>2297</v>
      </c>
      <c r="B3094" s="8" t="s">
        <v>2298</v>
      </c>
      <c r="C3094" t="s">
        <v>6592</v>
      </c>
      <c r="D3094" s="8" t="s">
        <v>6593</v>
      </c>
    </row>
    <row r="3095" spans="1:4" x14ac:dyDescent="0.35">
      <c r="A3095" t="s">
        <v>7022</v>
      </c>
      <c r="B3095" s="8" t="s">
        <v>2299</v>
      </c>
      <c r="C3095" t="s">
        <v>6644</v>
      </c>
      <c r="D3095" s="8" t="s">
        <v>6645</v>
      </c>
    </row>
    <row r="3096" spans="1:4" x14ac:dyDescent="0.35">
      <c r="A3096" t="s">
        <v>7022</v>
      </c>
      <c r="B3096" s="8" t="s">
        <v>2299</v>
      </c>
      <c r="C3096" t="s">
        <v>6398</v>
      </c>
      <c r="D3096" s="8" t="s">
        <v>6399</v>
      </c>
    </row>
    <row r="3097" spans="1:4" x14ac:dyDescent="0.35">
      <c r="A3097" t="s">
        <v>7022</v>
      </c>
      <c r="B3097" s="8" t="s">
        <v>2299</v>
      </c>
      <c r="C3097" t="s">
        <v>6410</v>
      </c>
      <c r="D3097" s="8" t="s">
        <v>6411</v>
      </c>
    </row>
    <row r="3098" spans="1:4" x14ac:dyDescent="0.35">
      <c r="A3098" t="s">
        <v>7022</v>
      </c>
      <c r="B3098" s="8" t="s">
        <v>2299</v>
      </c>
      <c r="C3098" t="s">
        <v>6416</v>
      </c>
      <c r="D3098" s="8" t="s">
        <v>6417</v>
      </c>
    </row>
    <row r="3099" spans="1:4" x14ac:dyDescent="0.35">
      <c r="A3099" t="s">
        <v>7022</v>
      </c>
      <c r="B3099" s="8" t="s">
        <v>2299</v>
      </c>
      <c r="C3099" t="s">
        <v>7018</v>
      </c>
      <c r="D3099" s="8" t="s">
        <v>7019</v>
      </c>
    </row>
    <row r="3100" spans="1:4" x14ac:dyDescent="0.35">
      <c r="A3100" t="s">
        <v>7022</v>
      </c>
      <c r="B3100" s="8" t="s">
        <v>2299</v>
      </c>
      <c r="C3100" t="s">
        <v>6592</v>
      </c>
      <c r="D3100" s="8" t="s">
        <v>6593</v>
      </c>
    </row>
    <row r="3101" spans="1:4" x14ac:dyDescent="0.35">
      <c r="A3101" t="s">
        <v>2300</v>
      </c>
      <c r="B3101" s="8" t="s">
        <v>2301</v>
      </c>
      <c r="C3101" t="s">
        <v>6644</v>
      </c>
      <c r="D3101" s="8" t="s">
        <v>6645</v>
      </c>
    </row>
    <row r="3102" spans="1:4" x14ac:dyDescent="0.35">
      <c r="A3102" t="s">
        <v>2300</v>
      </c>
      <c r="B3102" s="8" t="s">
        <v>2301</v>
      </c>
      <c r="C3102" t="s">
        <v>7018</v>
      </c>
      <c r="D3102" s="8" t="s">
        <v>7019</v>
      </c>
    </row>
    <row r="3103" spans="1:4" x14ac:dyDescent="0.35">
      <c r="A3103" t="s">
        <v>2300</v>
      </c>
      <c r="B3103" s="8" t="s">
        <v>2301</v>
      </c>
      <c r="C3103" t="s">
        <v>6592</v>
      </c>
      <c r="D3103" s="8" t="s">
        <v>6593</v>
      </c>
    </row>
    <row r="3104" spans="1:4" x14ac:dyDescent="0.35">
      <c r="A3104" t="s">
        <v>2302</v>
      </c>
      <c r="B3104" s="8" t="s">
        <v>2303</v>
      </c>
      <c r="C3104" t="s">
        <v>6644</v>
      </c>
      <c r="D3104" s="8" t="s">
        <v>6645</v>
      </c>
    </row>
    <row r="3105" spans="1:4" x14ac:dyDescent="0.35">
      <c r="A3105" t="s">
        <v>2302</v>
      </c>
      <c r="B3105" s="8" t="s">
        <v>2303</v>
      </c>
      <c r="C3105" t="s">
        <v>6921</v>
      </c>
      <c r="D3105" s="8" t="s">
        <v>6922</v>
      </c>
    </row>
    <row r="3106" spans="1:4" x14ac:dyDescent="0.35">
      <c r="A3106" t="s">
        <v>2302</v>
      </c>
      <c r="B3106" s="8" t="s">
        <v>2303</v>
      </c>
      <c r="C3106" t="s">
        <v>6932</v>
      </c>
      <c r="D3106" s="8" t="s">
        <v>6933</v>
      </c>
    </row>
    <row r="3107" spans="1:4" x14ac:dyDescent="0.35">
      <c r="A3107" t="s">
        <v>2302</v>
      </c>
      <c r="B3107" s="8" t="s">
        <v>2303</v>
      </c>
      <c r="C3107" t="s">
        <v>6725</v>
      </c>
      <c r="D3107" s="8" t="s">
        <v>6726</v>
      </c>
    </row>
    <row r="3108" spans="1:4" x14ac:dyDescent="0.35">
      <c r="A3108" t="s">
        <v>2302</v>
      </c>
      <c r="B3108" s="8" t="s">
        <v>2303</v>
      </c>
      <c r="C3108" t="s">
        <v>6590</v>
      </c>
      <c r="D3108" s="8" t="s">
        <v>6591</v>
      </c>
    </row>
    <row r="3109" spans="1:4" x14ac:dyDescent="0.35">
      <c r="A3109" t="s">
        <v>2304</v>
      </c>
      <c r="B3109" s="8" t="s">
        <v>2305</v>
      </c>
      <c r="C3109" t="s">
        <v>6644</v>
      </c>
      <c r="D3109" s="8" t="s">
        <v>6645</v>
      </c>
    </row>
    <row r="3110" spans="1:4" x14ac:dyDescent="0.35">
      <c r="A3110" t="s">
        <v>2304</v>
      </c>
      <c r="B3110" s="8" t="s">
        <v>2305</v>
      </c>
      <c r="C3110" t="s">
        <v>6921</v>
      </c>
      <c r="D3110" s="8" t="s">
        <v>6922</v>
      </c>
    </row>
    <row r="3111" spans="1:4" x14ac:dyDescent="0.35">
      <c r="A3111" t="s">
        <v>2304</v>
      </c>
      <c r="B3111" s="8" t="s">
        <v>2305</v>
      </c>
      <c r="C3111" t="s">
        <v>6590</v>
      </c>
      <c r="D3111" s="8" t="s">
        <v>6591</v>
      </c>
    </row>
    <row r="3112" spans="1:4" x14ac:dyDescent="0.35">
      <c r="A3112" t="s">
        <v>2304</v>
      </c>
      <c r="B3112" s="8" t="s">
        <v>2305</v>
      </c>
      <c r="C3112" t="s">
        <v>6592</v>
      </c>
      <c r="D3112" s="8" t="s">
        <v>6593</v>
      </c>
    </row>
    <row r="3113" spans="1:4" x14ac:dyDescent="0.35">
      <c r="A3113" t="s">
        <v>2306</v>
      </c>
      <c r="B3113" s="8" t="s">
        <v>2307</v>
      </c>
      <c r="C3113" t="s">
        <v>6644</v>
      </c>
      <c r="D3113" s="8" t="s">
        <v>6645</v>
      </c>
    </row>
    <row r="3114" spans="1:4" x14ac:dyDescent="0.35">
      <c r="A3114" t="s">
        <v>2306</v>
      </c>
      <c r="B3114" s="8" t="s">
        <v>2307</v>
      </c>
      <c r="C3114" t="s">
        <v>6921</v>
      </c>
      <c r="D3114" s="8" t="s">
        <v>6922</v>
      </c>
    </row>
    <row r="3115" spans="1:4" x14ac:dyDescent="0.35">
      <c r="A3115" t="s">
        <v>2306</v>
      </c>
      <c r="B3115" s="8" t="s">
        <v>2307</v>
      </c>
      <c r="C3115" t="s">
        <v>6590</v>
      </c>
      <c r="D3115" s="8" t="s">
        <v>6591</v>
      </c>
    </row>
    <row r="3116" spans="1:4" x14ac:dyDescent="0.35">
      <c r="A3116" t="s">
        <v>2308</v>
      </c>
      <c r="B3116" s="8" t="s">
        <v>2309</v>
      </c>
      <c r="C3116" t="s">
        <v>6644</v>
      </c>
      <c r="D3116" s="8" t="s">
        <v>6645</v>
      </c>
    </row>
    <row r="3117" spans="1:4" x14ac:dyDescent="0.35">
      <c r="A3117" t="s">
        <v>2308</v>
      </c>
      <c r="B3117" s="8" t="s">
        <v>2309</v>
      </c>
      <c r="C3117" t="s">
        <v>6921</v>
      </c>
      <c r="D3117" s="8" t="s">
        <v>6922</v>
      </c>
    </row>
    <row r="3118" spans="1:4" x14ac:dyDescent="0.35">
      <c r="A3118" t="s">
        <v>2308</v>
      </c>
      <c r="B3118" s="8" t="s">
        <v>2309</v>
      </c>
      <c r="C3118" t="s">
        <v>6590</v>
      </c>
      <c r="D3118" s="8" t="s">
        <v>6591</v>
      </c>
    </row>
    <row r="3119" spans="1:4" x14ac:dyDescent="0.35">
      <c r="A3119" t="s">
        <v>2310</v>
      </c>
      <c r="B3119" s="8" t="s">
        <v>2311</v>
      </c>
      <c r="C3119" t="s">
        <v>6644</v>
      </c>
      <c r="D3119" s="8" t="s">
        <v>6645</v>
      </c>
    </row>
    <row r="3120" spans="1:4" x14ac:dyDescent="0.35">
      <c r="A3120" t="s">
        <v>2310</v>
      </c>
      <c r="B3120" s="8" t="s">
        <v>2311</v>
      </c>
      <c r="C3120" t="s">
        <v>6932</v>
      </c>
      <c r="D3120" s="8" t="s">
        <v>6933</v>
      </c>
    </row>
    <row r="3121" spans="1:4" x14ac:dyDescent="0.35">
      <c r="A3121" t="s">
        <v>2310</v>
      </c>
      <c r="B3121" s="8" t="s">
        <v>2311</v>
      </c>
      <c r="C3121" t="s">
        <v>7023</v>
      </c>
      <c r="D3121" s="8" t="s">
        <v>7024</v>
      </c>
    </row>
    <row r="3122" spans="1:4" x14ac:dyDescent="0.35">
      <c r="A3122" t="s">
        <v>2310</v>
      </c>
      <c r="B3122" s="8" t="s">
        <v>2311</v>
      </c>
      <c r="C3122" t="s">
        <v>6590</v>
      </c>
      <c r="D3122" s="8" t="s">
        <v>6591</v>
      </c>
    </row>
    <row r="3123" spans="1:4" x14ac:dyDescent="0.35">
      <c r="A3123" t="s">
        <v>2312</v>
      </c>
      <c r="B3123" s="8" t="s">
        <v>2313</v>
      </c>
      <c r="C3123" t="s">
        <v>6644</v>
      </c>
      <c r="D3123" s="8" t="s">
        <v>6645</v>
      </c>
    </row>
    <row r="3124" spans="1:4" x14ac:dyDescent="0.35">
      <c r="A3124" t="s">
        <v>2312</v>
      </c>
      <c r="B3124" s="8" t="s">
        <v>2313</v>
      </c>
      <c r="C3124" t="s">
        <v>6921</v>
      </c>
      <c r="D3124" s="8" t="s">
        <v>6922</v>
      </c>
    </row>
    <row r="3125" spans="1:4" x14ac:dyDescent="0.35">
      <c r="A3125" t="s">
        <v>2312</v>
      </c>
      <c r="B3125" s="8" t="s">
        <v>2313</v>
      </c>
      <c r="C3125" t="s">
        <v>6590</v>
      </c>
      <c r="D3125" s="8" t="s">
        <v>6591</v>
      </c>
    </row>
    <row r="3126" spans="1:4" x14ac:dyDescent="0.35">
      <c r="A3126" t="s">
        <v>2314</v>
      </c>
      <c r="B3126" s="8" t="s">
        <v>2315</v>
      </c>
      <c r="C3126" t="s">
        <v>6644</v>
      </c>
      <c r="D3126" s="8" t="s">
        <v>6645</v>
      </c>
    </row>
    <row r="3127" spans="1:4" x14ac:dyDescent="0.35">
      <c r="A3127" t="s">
        <v>2314</v>
      </c>
      <c r="B3127" s="8" t="s">
        <v>2315</v>
      </c>
      <c r="C3127" t="s">
        <v>6921</v>
      </c>
      <c r="D3127" s="8" t="s">
        <v>6922</v>
      </c>
    </row>
    <row r="3128" spans="1:4" x14ac:dyDescent="0.35">
      <c r="A3128" t="s">
        <v>2314</v>
      </c>
      <c r="B3128" s="8" t="s">
        <v>2315</v>
      </c>
      <c r="C3128" t="s">
        <v>6932</v>
      </c>
      <c r="D3128" s="8" t="s">
        <v>6933</v>
      </c>
    </row>
    <row r="3129" spans="1:4" x14ac:dyDescent="0.35">
      <c r="A3129" t="s">
        <v>2314</v>
      </c>
      <c r="B3129" s="8" t="s">
        <v>2315</v>
      </c>
      <c r="C3129" t="s">
        <v>6590</v>
      </c>
      <c r="D3129" s="8" t="s">
        <v>6591</v>
      </c>
    </row>
    <row r="3130" spans="1:4" x14ac:dyDescent="0.35">
      <c r="A3130" t="s">
        <v>2316</v>
      </c>
      <c r="B3130" s="8" t="s">
        <v>2317</v>
      </c>
      <c r="C3130" t="s">
        <v>6644</v>
      </c>
      <c r="D3130" s="8" t="s">
        <v>6645</v>
      </c>
    </row>
    <row r="3131" spans="1:4" x14ac:dyDescent="0.35">
      <c r="A3131" t="s">
        <v>2316</v>
      </c>
      <c r="B3131" s="8" t="s">
        <v>2317</v>
      </c>
      <c r="C3131" t="s">
        <v>6921</v>
      </c>
      <c r="D3131" s="8" t="s">
        <v>6922</v>
      </c>
    </row>
    <row r="3132" spans="1:4" x14ac:dyDescent="0.35">
      <c r="A3132" t="s">
        <v>2316</v>
      </c>
      <c r="B3132" s="8" t="s">
        <v>2317</v>
      </c>
      <c r="C3132" t="s">
        <v>6590</v>
      </c>
      <c r="D3132" s="8" t="s">
        <v>6591</v>
      </c>
    </row>
    <row r="3133" spans="1:4" x14ac:dyDescent="0.35">
      <c r="A3133" t="s">
        <v>2318</v>
      </c>
      <c r="B3133" s="8" t="s">
        <v>2319</v>
      </c>
      <c r="C3133" t="s">
        <v>6644</v>
      </c>
      <c r="D3133" s="8" t="s">
        <v>6645</v>
      </c>
    </row>
    <row r="3134" spans="1:4" x14ac:dyDescent="0.35">
      <c r="A3134" t="s">
        <v>2318</v>
      </c>
      <c r="B3134" s="8" t="s">
        <v>2319</v>
      </c>
      <c r="C3134" t="s">
        <v>6646</v>
      </c>
      <c r="D3134" s="8" t="s">
        <v>6647</v>
      </c>
    </row>
    <row r="3135" spans="1:4" x14ac:dyDescent="0.35">
      <c r="A3135" t="s">
        <v>2318</v>
      </c>
      <c r="B3135" s="8" t="s">
        <v>2319</v>
      </c>
      <c r="C3135" t="s">
        <v>6594</v>
      </c>
      <c r="D3135" s="8" t="s">
        <v>6595</v>
      </c>
    </row>
    <row r="3136" spans="1:4" x14ac:dyDescent="0.35">
      <c r="A3136" t="s">
        <v>2318</v>
      </c>
      <c r="B3136" s="8" t="s">
        <v>2319</v>
      </c>
      <c r="C3136" t="s">
        <v>6514</v>
      </c>
      <c r="D3136" s="8" t="s">
        <v>6515</v>
      </c>
    </row>
    <row r="3137" spans="1:4" x14ac:dyDescent="0.35">
      <c r="A3137" t="s">
        <v>2320</v>
      </c>
      <c r="B3137" s="8" t="s">
        <v>2321</v>
      </c>
      <c r="C3137" t="s">
        <v>6644</v>
      </c>
      <c r="D3137" s="8" t="s">
        <v>6645</v>
      </c>
    </row>
    <row r="3138" spans="1:4" x14ac:dyDescent="0.35">
      <c r="A3138" t="s">
        <v>2320</v>
      </c>
      <c r="B3138" s="8" t="s">
        <v>2321</v>
      </c>
      <c r="C3138" t="s">
        <v>6646</v>
      </c>
      <c r="D3138" s="8" t="s">
        <v>6647</v>
      </c>
    </row>
    <row r="3139" spans="1:4" x14ac:dyDescent="0.35">
      <c r="A3139" t="s">
        <v>2320</v>
      </c>
      <c r="B3139" s="8" t="s">
        <v>2321</v>
      </c>
      <c r="C3139" t="s">
        <v>6594</v>
      </c>
      <c r="D3139" s="8" t="s">
        <v>6595</v>
      </c>
    </row>
    <row r="3140" spans="1:4" x14ac:dyDescent="0.35">
      <c r="A3140" t="s">
        <v>2322</v>
      </c>
      <c r="B3140" s="8" t="s">
        <v>2323</v>
      </c>
      <c r="C3140" t="s">
        <v>6644</v>
      </c>
      <c r="D3140" s="8" t="s">
        <v>6645</v>
      </c>
    </row>
    <row r="3141" spans="1:4" x14ac:dyDescent="0.35">
      <c r="A3141" t="s">
        <v>2322</v>
      </c>
      <c r="B3141" s="8" t="s">
        <v>2323</v>
      </c>
      <c r="C3141" t="s">
        <v>6646</v>
      </c>
      <c r="D3141" s="8" t="s">
        <v>6647</v>
      </c>
    </row>
    <row r="3142" spans="1:4" x14ac:dyDescent="0.35">
      <c r="A3142" t="s">
        <v>2322</v>
      </c>
      <c r="B3142" s="8" t="s">
        <v>2323</v>
      </c>
      <c r="C3142" t="s">
        <v>6594</v>
      </c>
      <c r="D3142" s="8" t="s">
        <v>6595</v>
      </c>
    </row>
    <row r="3143" spans="1:4" x14ac:dyDescent="0.35">
      <c r="A3143" t="s">
        <v>2324</v>
      </c>
      <c r="B3143" s="8" t="s">
        <v>2325</v>
      </c>
      <c r="C3143" t="s">
        <v>6644</v>
      </c>
      <c r="D3143" s="8" t="s">
        <v>6645</v>
      </c>
    </row>
    <row r="3144" spans="1:4" x14ac:dyDescent="0.35">
      <c r="A3144" t="s">
        <v>2324</v>
      </c>
      <c r="B3144" s="8" t="s">
        <v>2325</v>
      </c>
      <c r="C3144" t="s">
        <v>6646</v>
      </c>
      <c r="D3144" s="8" t="s">
        <v>6647</v>
      </c>
    </row>
    <row r="3145" spans="1:4" x14ac:dyDescent="0.35">
      <c r="A3145" t="s">
        <v>2324</v>
      </c>
      <c r="B3145" s="8" t="s">
        <v>2325</v>
      </c>
      <c r="C3145" t="s">
        <v>6594</v>
      </c>
      <c r="D3145" s="8" t="s">
        <v>6595</v>
      </c>
    </row>
    <row r="3146" spans="1:4" x14ac:dyDescent="0.35">
      <c r="A3146" t="s">
        <v>2326</v>
      </c>
      <c r="B3146" s="8" t="s">
        <v>2327</v>
      </c>
      <c r="C3146" t="s">
        <v>6644</v>
      </c>
      <c r="D3146" s="8" t="s">
        <v>6645</v>
      </c>
    </row>
    <row r="3147" spans="1:4" x14ac:dyDescent="0.35">
      <c r="A3147" t="s">
        <v>2326</v>
      </c>
      <c r="B3147" s="8" t="s">
        <v>2327</v>
      </c>
      <c r="C3147" t="s">
        <v>6646</v>
      </c>
      <c r="D3147" s="8" t="s">
        <v>6647</v>
      </c>
    </row>
    <row r="3148" spans="1:4" x14ac:dyDescent="0.35">
      <c r="A3148" t="s">
        <v>2326</v>
      </c>
      <c r="B3148" s="8" t="s">
        <v>2327</v>
      </c>
      <c r="C3148" t="s">
        <v>6594</v>
      </c>
      <c r="D3148" s="8" t="s">
        <v>6595</v>
      </c>
    </row>
    <row r="3149" spans="1:4" x14ac:dyDescent="0.35">
      <c r="A3149" t="s">
        <v>2328</v>
      </c>
      <c r="B3149" s="8" t="s">
        <v>2329</v>
      </c>
      <c r="C3149" t="s">
        <v>6644</v>
      </c>
      <c r="D3149" s="8" t="s">
        <v>6645</v>
      </c>
    </row>
    <row r="3150" spans="1:4" x14ac:dyDescent="0.35">
      <c r="A3150" t="s">
        <v>2328</v>
      </c>
      <c r="B3150" s="8" t="s">
        <v>2329</v>
      </c>
      <c r="C3150" t="s">
        <v>6646</v>
      </c>
      <c r="D3150" s="8" t="s">
        <v>6647</v>
      </c>
    </row>
    <row r="3151" spans="1:4" x14ac:dyDescent="0.35">
      <c r="A3151" t="s">
        <v>2328</v>
      </c>
      <c r="B3151" s="8" t="s">
        <v>2329</v>
      </c>
      <c r="C3151" t="s">
        <v>6594</v>
      </c>
      <c r="D3151" s="8" t="s">
        <v>6595</v>
      </c>
    </row>
    <row r="3152" spans="1:4" x14ac:dyDescent="0.35">
      <c r="A3152" t="s">
        <v>2330</v>
      </c>
      <c r="B3152" s="8" t="s">
        <v>2331</v>
      </c>
      <c r="C3152" t="s">
        <v>6644</v>
      </c>
      <c r="D3152" s="8" t="s">
        <v>6645</v>
      </c>
    </row>
    <row r="3153" spans="1:4" x14ac:dyDescent="0.35">
      <c r="A3153" t="s">
        <v>2330</v>
      </c>
      <c r="B3153" s="8" t="s">
        <v>2331</v>
      </c>
      <c r="C3153" t="s">
        <v>6646</v>
      </c>
      <c r="D3153" s="8" t="s">
        <v>6647</v>
      </c>
    </row>
    <row r="3154" spans="1:4" x14ac:dyDescent="0.35">
      <c r="A3154" t="s">
        <v>2330</v>
      </c>
      <c r="B3154" s="8" t="s">
        <v>2331</v>
      </c>
      <c r="C3154" t="s">
        <v>6594</v>
      </c>
      <c r="D3154" s="8" t="s">
        <v>6595</v>
      </c>
    </row>
    <row r="3155" spans="1:4" x14ac:dyDescent="0.35">
      <c r="A3155" t="s">
        <v>2332</v>
      </c>
      <c r="B3155" s="8" t="s">
        <v>2333</v>
      </c>
      <c r="C3155" t="s">
        <v>6644</v>
      </c>
      <c r="D3155" s="8" t="s">
        <v>6645</v>
      </c>
    </row>
    <row r="3156" spans="1:4" x14ac:dyDescent="0.35">
      <c r="A3156" t="s">
        <v>2332</v>
      </c>
      <c r="B3156" s="8" t="s">
        <v>2333</v>
      </c>
      <c r="C3156" t="s">
        <v>6646</v>
      </c>
      <c r="D3156" s="8" t="s">
        <v>6647</v>
      </c>
    </row>
    <row r="3157" spans="1:4" x14ac:dyDescent="0.35">
      <c r="A3157" t="s">
        <v>2332</v>
      </c>
      <c r="B3157" s="8" t="s">
        <v>2333</v>
      </c>
      <c r="C3157" t="s">
        <v>6594</v>
      </c>
      <c r="D3157" s="8" t="s">
        <v>6595</v>
      </c>
    </row>
    <row r="3158" spans="1:4" x14ac:dyDescent="0.35">
      <c r="A3158" t="s">
        <v>2334</v>
      </c>
      <c r="B3158" s="8" t="s">
        <v>2335</v>
      </c>
      <c r="C3158" t="s">
        <v>6644</v>
      </c>
      <c r="D3158" s="8" t="s">
        <v>6645</v>
      </c>
    </row>
    <row r="3159" spans="1:4" x14ac:dyDescent="0.35">
      <c r="A3159" t="s">
        <v>2334</v>
      </c>
      <c r="B3159" s="8" t="s">
        <v>2335</v>
      </c>
      <c r="C3159" t="s">
        <v>6646</v>
      </c>
      <c r="D3159" s="8" t="s">
        <v>6647</v>
      </c>
    </row>
    <row r="3160" spans="1:4" x14ac:dyDescent="0.35">
      <c r="A3160" t="s">
        <v>2334</v>
      </c>
      <c r="B3160" s="8" t="s">
        <v>2335</v>
      </c>
      <c r="C3160" t="s">
        <v>6594</v>
      </c>
      <c r="D3160" s="8" t="s">
        <v>6595</v>
      </c>
    </row>
    <row r="3161" spans="1:4" x14ac:dyDescent="0.35">
      <c r="A3161" t="s">
        <v>2336</v>
      </c>
      <c r="B3161" s="8" t="s">
        <v>2337</v>
      </c>
      <c r="C3161" t="s">
        <v>6644</v>
      </c>
      <c r="D3161" s="8" t="s">
        <v>6645</v>
      </c>
    </row>
    <row r="3162" spans="1:4" x14ac:dyDescent="0.35">
      <c r="A3162" t="s">
        <v>2336</v>
      </c>
      <c r="B3162" s="8" t="s">
        <v>2337</v>
      </c>
      <c r="C3162" t="s">
        <v>6646</v>
      </c>
      <c r="D3162" s="8" t="s">
        <v>6647</v>
      </c>
    </row>
    <row r="3163" spans="1:4" x14ac:dyDescent="0.35">
      <c r="A3163" t="s">
        <v>2336</v>
      </c>
      <c r="B3163" s="8" t="s">
        <v>2337</v>
      </c>
      <c r="C3163" t="s">
        <v>6594</v>
      </c>
      <c r="D3163" s="8" t="s">
        <v>6595</v>
      </c>
    </row>
    <row r="3164" spans="1:4" x14ac:dyDescent="0.35">
      <c r="A3164" t="s">
        <v>2338</v>
      </c>
      <c r="B3164" s="8" t="s">
        <v>2339</v>
      </c>
      <c r="C3164" t="s">
        <v>6276</v>
      </c>
      <c r="D3164" s="8" t="s">
        <v>6277</v>
      </c>
    </row>
    <row r="3165" spans="1:4" x14ac:dyDescent="0.35">
      <c r="A3165" t="s">
        <v>2338</v>
      </c>
      <c r="B3165" s="8" t="s">
        <v>2339</v>
      </c>
      <c r="C3165" t="s">
        <v>6788</v>
      </c>
      <c r="D3165" s="8" t="s">
        <v>6789</v>
      </c>
    </row>
    <row r="3166" spans="1:4" x14ac:dyDescent="0.35">
      <c r="A3166" t="s">
        <v>2338</v>
      </c>
      <c r="B3166" s="8" t="s">
        <v>2339</v>
      </c>
      <c r="C3166" t="s">
        <v>7016</v>
      </c>
      <c r="D3166" s="8" t="s">
        <v>7017</v>
      </c>
    </row>
    <row r="3167" spans="1:4" x14ac:dyDescent="0.35">
      <c r="A3167" t="s">
        <v>2338</v>
      </c>
      <c r="B3167" s="8" t="s">
        <v>2339</v>
      </c>
      <c r="C3167" t="s">
        <v>6609</v>
      </c>
      <c r="D3167" s="8" t="s">
        <v>6610</v>
      </c>
    </row>
    <row r="3168" spans="1:4" x14ac:dyDescent="0.35">
      <c r="A3168" t="s">
        <v>2340</v>
      </c>
      <c r="B3168" s="8" t="s">
        <v>2341</v>
      </c>
      <c r="C3168" t="s">
        <v>6644</v>
      </c>
      <c r="D3168" s="8" t="s">
        <v>6645</v>
      </c>
    </row>
    <row r="3169" spans="1:4" x14ac:dyDescent="0.35">
      <c r="A3169" t="s">
        <v>2340</v>
      </c>
      <c r="B3169" s="8" t="s">
        <v>2341</v>
      </c>
      <c r="C3169" t="s">
        <v>7018</v>
      </c>
      <c r="D3169" s="8" t="s">
        <v>7019</v>
      </c>
    </row>
    <row r="3170" spans="1:4" x14ac:dyDescent="0.35">
      <c r="A3170" t="s">
        <v>2340</v>
      </c>
      <c r="B3170" s="8" t="s">
        <v>2341</v>
      </c>
      <c r="C3170" t="s">
        <v>6788</v>
      </c>
      <c r="D3170" s="8" t="s">
        <v>6789</v>
      </c>
    </row>
    <row r="3171" spans="1:4" x14ac:dyDescent="0.35">
      <c r="A3171" t="s">
        <v>2340</v>
      </c>
      <c r="B3171" s="8" t="s">
        <v>2341</v>
      </c>
      <c r="C3171" t="s">
        <v>7016</v>
      </c>
      <c r="D3171" s="8" t="s">
        <v>7017</v>
      </c>
    </row>
    <row r="3172" spans="1:4" x14ac:dyDescent="0.35">
      <c r="A3172" t="s">
        <v>2340</v>
      </c>
      <c r="B3172" s="8" t="s">
        <v>2341</v>
      </c>
      <c r="C3172" t="s">
        <v>6592</v>
      </c>
      <c r="D3172" s="8" t="s">
        <v>6593</v>
      </c>
    </row>
    <row r="3173" spans="1:4" x14ac:dyDescent="0.35">
      <c r="A3173" t="s">
        <v>2342</v>
      </c>
      <c r="B3173" s="8" t="s">
        <v>2343</v>
      </c>
      <c r="C3173" t="s">
        <v>6644</v>
      </c>
      <c r="D3173" s="8" t="s">
        <v>6645</v>
      </c>
    </row>
    <row r="3174" spans="1:4" x14ac:dyDescent="0.35">
      <c r="A3174" t="s">
        <v>2342</v>
      </c>
      <c r="B3174" s="8" t="s">
        <v>2343</v>
      </c>
      <c r="C3174" t="s">
        <v>6788</v>
      </c>
      <c r="D3174" s="8" t="s">
        <v>6789</v>
      </c>
    </row>
    <row r="3175" spans="1:4" x14ac:dyDescent="0.35">
      <c r="A3175" t="s">
        <v>2342</v>
      </c>
      <c r="B3175" s="8" t="s">
        <v>2343</v>
      </c>
      <c r="C3175" t="s">
        <v>6483</v>
      </c>
      <c r="D3175" s="8" t="s">
        <v>6484</v>
      </c>
    </row>
    <row r="3176" spans="1:4" x14ac:dyDescent="0.35">
      <c r="A3176" t="s">
        <v>7025</v>
      </c>
      <c r="B3176" s="8" t="s">
        <v>2344</v>
      </c>
      <c r="C3176" t="s">
        <v>6644</v>
      </c>
      <c r="D3176" s="8" t="s">
        <v>6645</v>
      </c>
    </row>
    <row r="3177" spans="1:4" x14ac:dyDescent="0.35">
      <c r="A3177" t="s">
        <v>7025</v>
      </c>
      <c r="B3177" s="8" t="s">
        <v>2344</v>
      </c>
      <c r="C3177" t="s">
        <v>7014</v>
      </c>
      <c r="D3177" s="8" t="s">
        <v>7015</v>
      </c>
    </row>
    <row r="3178" spans="1:4" x14ac:dyDescent="0.35">
      <c r="A3178" t="s">
        <v>7025</v>
      </c>
      <c r="B3178" s="8" t="s">
        <v>2344</v>
      </c>
      <c r="C3178" t="s">
        <v>6646</v>
      </c>
      <c r="D3178" s="8" t="s">
        <v>6647</v>
      </c>
    </row>
    <row r="3179" spans="1:4" x14ac:dyDescent="0.35">
      <c r="A3179" t="s">
        <v>7025</v>
      </c>
      <c r="B3179" s="8" t="s">
        <v>2344</v>
      </c>
      <c r="C3179" t="s">
        <v>6590</v>
      </c>
      <c r="D3179" s="8" t="s">
        <v>6591</v>
      </c>
    </row>
    <row r="3180" spans="1:4" x14ac:dyDescent="0.35">
      <c r="A3180" t="s">
        <v>7025</v>
      </c>
      <c r="B3180" s="8" t="s">
        <v>2344</v>
      </c>
      <c r="C3180" t="s">
        <v>6594</v>
      </c>
      <c r="D3180" s="8" t="s">
        <v>6595</v>
      </c>
    </row>
    <row r="3181" spans="1:4" x14ac:dyDescent="0.35">
      <c r="A3181" t="s">
        <v>2345</v>
      </c>
      <c r="B3181" s="8" t="s">
        <v>2346</v>
      </c>
      <c r="C3181" t="s">
        <v>6644</v>
      </c>
      <c r="D3181" s="8" t="s">
        <v>6645</v>
      </c>
    </row>
    <row r="3182" spans="1:4" x14ac:dyDescent="0.35">
      <c r="A3182" t="s">
        <v>2345</v>
      </c>
      <c r="B3182" s="8" t="s">
        <v>2346</v>
      </c>
      <c r="C3182" t="s">
        <v>6904</v>
      </c>
      <c r="D3182" s="8" t="s">
        <v>6905</v>
      </c>
    </row>
    <row r="3183" spans="1:4" x14ac:dyDescent="0.35">
      <c r="A3183" t="s">
        <v>2345</v>
      </c>
      <c r="B3183" s="8" t="s">
        <v>2346</v>
      </c>
      <c r="C3183" t="s">
        <v>6483</v>
      </c>
      <c r="D3183" s="8" t="s">
        <v>6484</v>
      </c>
    </row>
    <row r="3184" spans="1:4" x14ac:dyDescent="0.35">
      <c r="A3184" t="s">
        <v>2347</v>
      </c>
      <c r="B3184" s="8" t="s">
        <v>2348</v>
      </c>
      <c r="C3184" t="s">
        <v>6725</v>
      </c>
      <c r="D3184" s="8" t="s">
        <v>6726</v>
      </c>
    </row>
    <row r="3185" spans="1:4" x14ac:dyDescent="0.35">
      <c r="A3185" t="s">
        <v>2347</v>
      </c>
      <c r="B3185" s="8" t="s">
        <v>2348</v>
      </c>
      <c r="C3185" t="s">
        <v>7023</v>
      </c>
      <c r="D3185" s="8" t="s">
        <v>7024</v>
      </c>
    </row>
    <row r="3186" spans="1:4" x14ac:dyDescent="0.35">
      <c r="A3186" t="s">
        <v>2347</v>
      </c>
      <c r="B3186" s="8" t="s">
        <v>2348</v>
      </c>
      <c r="C3186" t="s">
        <v>7016</v>
      </c>
      <c r="D3186" s="8" t="s">
        <v>7017</v>
      </c>
    </row>
    <row r="3187" spans="1:4" x14ac:dyDescent="0.35">
      <c r="A3187" t="s">
        <v>2349</v>
      </c>
      <c r="B3187" s="8" t="s">
        <v>2351</v>
      </c>
      <c r="C3187" t="s">
        <v>6837</v>
      </c>
      <c r="D3187" s="8" t="s">
        <v>6838</v>
      </c>
    </row>
    <row r="3188" spans="1:4" x14ac:dyDescent="0.35">
      <c r="A3188" t="s">
        <v>2352</v>
      </c>
      <c r="B3188" s="8" t="s">
        <v>2353</v>
      </c>
      <c r="C3188" t="s">
        <v>6738</v>
      </c>
      <c r="D3188" s="8" t="s">
        <v>6739</v>
      </c>
    </row>
    <row r="3189" spans="1:4" x14ac:dyDescent="0.35">
      <c r="A3189" t="s">
        <v>2354</v>
      </c>
      <c r="B3189" s="8" t="s">
        <v>2355</v>
      </c>
      <c r="C3189" t="s">
        <v>6738</v>
      </c>
      <c r="D3189" s="8" t="s">
        <v>6739</v>
      </c>
    </row>
    <row r="3190" spans="1:4" x14ac:dyDescent="0.35">
      <c r="A3190" t="s">
        <v>2354</v>
      </c>
      <c r="B3190" s="8" t="s">
        <v>2355</v>
      </c>
      <c r="C3190" t="s">
        <v>7026</v>
      </c>
      <c r="D3190" s="8" t="s">
        <v>7027</v>
      </c>
    </row>
    <row r="3191" spans="1:4" x14ac:dyDescent="0.35">
      <c r="A3191" t="s">
        <v>2356</v>
      </c>
      <c r="B3191" s="8" t="s">
        <v>2357</v>
      </c>
      <c r="C3191" t="s">
        <v>6738</v>
      </c>
      <c r="D3191" s="8" t="s">
        <v>6739</v>
      </c>
    </row>
    <row r="3192" spans="1:4" x14ac:dyDescent="0.35">
      <c r="A3192" t="s">
        <v>2358</v>
      </c>
      <c r="B3192" s="8" t="s">
        <v>2359</v>
      </c>
      <c r="C3192" t="s">
        <v>7020</v>
      </c>
      <c r="D3192" s="8" t="s">
        <v>7021</v>
      </c>
    </row>
    <row r="3193" spans="1:4" x14ac:dyDescent="0.35">
      <c r="A3193" t="s">
        <v>2358</v>
      </c>
      <c r="B3193" s="8" t="s">
        <v>2359</v>
      </c>
      <c r="C3193" t="s">
        <v>7028</v>
      </c>
      <c r="D3193" s="8" t="s">
        <v>7029</v>
      </c>
    </row>
    <row r="3194" spans="1:4" x14ac:dyDescent="0.35">
      <c r="A3194" t="s">
        <v>2358</v>
      </c>
      <c r="B3194" s="8" t="s">
        <v>2359</v>
      </c>
      <c r="C3194" t="s">
        <v>7030</v>
      </c>
      <c r="D3194" s="8" t="s">
        <v>7031</v>
      </c>
    </row>
    <row r="3195" spans="1:4" x14ac:dyDescent="0.35">
      <c r="A3195" t="s">
        <v>2360</v>
      </c>
      <c r="B3195" s="8" t="s">
        <v>2361</v>
      </c>
      <c r="C3195" t="s">
        <v>7020</v>
      </c>
      <c r="D3195" s="8" t="s">
        <v>7021</v>
      </c>
    </row>
    <row r="3196" spans="1:4" x14ac:dyDescent="0.35">
      <c r="A3196" t="s">
        <v>2360</v>
      </c>
      <c r="B3196" s="8" t="s">
        <v>2361</v>
      </c>
      <c r="C3196" t="s">
        <v>6725</v>
      </c>
      <c r="D3196" s="8" t="s">
        <v>6726</v>
      </c>
    </row>
    <row r="3197" spans="1:4" x14ac:dyDescent="0.35">
      <c r="A3197" t="s">
        <v>2360</v>
      </c>
      <c r="B3197" s="8" t="s">
        <v>2361</v>
      </c>
      <c r="C3197" t="s">
        <v>7016</v>
      </c>
      <c r="D3197" s="8" t="s">
        <v>7017</v>
      </c>
    </row>
    <row r="3198" spans="1:4" x14ac:dyDescent="0.35">
      <c r="A3198" t="s">
        <v>2360</v>
      </c>
      <c r="B3198" s="8" t="s">
        <v>2361</v>
      </c>
      <c r="C3198" t="s">
        <v>7028</v>
      </c>
      <c r="D3198" s="8" t="s">
        <v>7029</v>
      </c>
    </row>
    <row r="3199" spans="1:4" x14ac:dyDescent="0.35">
      <c r="A3199" t="s">
        <v>2360</v>
      </c>
      <c r="B3199" s="8" t="s">
        <v>2361</v>
      </c>
      <c r="C3199" t="s">
        <v>7030</v>
      </c>
      <c r="D3199" s="8" t="s">
        <v>7031</v>
      </c>
    </row>
    <row r="3200" spans="1:4" x14ac:dyDescent="0.35">
      <c r="A3200" t="s">
        <v>2362</v>
      </c>
      <c r="B3200" s="8" t="s">
        <v>2363</v>
      </c>
      <c r="C3200" t="s">
        <v>6241</v>
      </c>
      <c r="D3200" s="8" t="s">
        <v>6242</v>
      </c>
    </row>
    <row r="3201" spans="1:4" x14ac:dyDescent="0.35">
      <c r="A3201" t="s">
        <v>2362</v>
      </c>
      <c r="B3201" s="8" t="s">
        <v>2363</v>
      </c>
      <c r="C3201" t="s">
        <v>6725</v>
      </c>
      <c r="D3201" s="8" t="s">
        <v>6726</v>
      </c>
    </row>
    <row r="3202" spans="1:4" x14ac:dyDescent="0.35">
      <c r="A3202" t="s">
        <v>2362</v>
      </c>
      <c r="B3202" s="8" t="s">
        <v>2363</v>
      </c>
      <c r="C3202" t="s">
        <v>7023</v>
      </c>
      <c r="D3202" s="8" t="s">
        <v>7024</v>
      </c>
    </row>
    <row r="3203" spans="1:4" x14ac:dyDescent="0.35">
      <c r="A3203" t="s">
        <v>2362</v>
      </c>
      <c r="B3203" s="8" t="s">
        <v>2363</v>
      </c>
      <c r="C3203" t="s">
        <v>7016</v>
      </c>
      <c r="D3203" s="8" t="s">
        <v>7017</v>
      </c>
    </row>
    <row r="3204" spans="1:4" x14ac:dyDescent="0.35">
      <c r="A3204" t="s">
        <v>2364</v>
      </c>
      <c r="B3204" s="8" t="s">
        <v>2365</v>
      </c>
      <c r="C3204" t="s">
        <v>6241</v>
      </c>
      <c r="D3204" s="8" t="s">
        <v>6242</v>
      </c>
    </row>
    <row r="3205" spans="1:4" x14ac:dyDescent="0.35">
      <c r="A3205" t="s">
        <v>2364</v>
      </c>
      <c r="B3205" s="8" t="s">
        <v>2365</v>
      </c>
      <c r="C3205" t="s">
        <v>6725</v>
      </c>
      <c r="D3205" s="8" t="s">
        <v>6726</v>
      </c>
    </row>
    <row r="3206" spans="1:4" x14ac:dyDescent="0.35">
      <c r="A3206" t="s">
        <v>2364</v>
      </c>
      <c r="B3206" s="8" t="s">
        <v>2365</v>
      </c>
      <c r="C3206" t="s">
        <v>7023</v>
      </c>
      <c r="D3206" s="8" t="s">
        <v>7024</v>
      </c>
    </row>
    <row r="3207" spans="1:4" x14ac:dyDescent="0.35">
      <c r="A3207" t="s">
        <v>2364</v>
      </c>
      <c r="B3207" s="8" t="s">
        <v>2365</v>
      </c>
      <c r="C3207" t="s">
        <v>7016</v>
      </c>
      <c r="D3207" s="8" t="s">
        <v>7017</v>
      </c>
    </row>
    <row r="3208" spans="1:4" x14ac:dyDescent="0.35">
      <c r="A3208" t="s">
        <v>2366</v>
      </c>
      <c r="B3208" s="8" t="s">
        <v>2367</v>
      </c>
      <c r="C3208" t="s">
        <v>6243</v>
      </c>
      <c r="D3208" s="8" t="s">
        <v>6244</v>
      </c>
    </row>
    <row r="3209" spans="1:4" x14ac:dyDescent="0.35">
      <c r="A3209" t="s">
        <v>2366</v>
      </c>
      <c r="B3209" s="8" t="s">
        <v>2367</v>
      </c>
      <c r="C3209" t="s">
        <v>7032</v>
      </c>
      <c r="D3209" s="8" t="s">
        <v>7033</v>
      </c>
    </row>
    <row r="3210" spans="1:4" x14ac:dyDescent="0.35">
      <c r="A3210" t="s">
        <v>2366</v>
      </c>
      <c r="B3210" s="8" t="s">
        <v>2367</v>
      </c>
      <c r="C3210" t="s">
        <v>7034</v>
      </c>
      <c r="D3210" s="8" t="s">
        <v>7035</v>
      </c>
    </row>
    <row r="3211" spans="1:4" x14ac:dyDescent="0.35">
      <c r="A3211" t="s">
        <v>2366</v>
      </c>
      <c r="B3211" s="8" t="s">
        <v>2367</v>
      </c>
      <c r="C3211" t="s">
        <v>6774</v>
      </c>
      <c r="D3211" s="8" t="s">
        <v>6775</v>
      </c>
    </row>
    <row r="3212" spans="1:4" x14ac:dyDescent="0.35">
      <c r="A3212" t="s">
        <v>2366</v>
      </c>
      <c r="B3212" s="8" t="s">
        <v>2367</v>
      </c>
      <c r="C3212" t="s">
        <v>6245</v>
      </c>
      <c r="D3212" s="8" t="s">
        <v>6246</v>
      </c>
    </row>
    <row r="3213" spans="1:4" x14ac:dyDescent="0.35">
      <c r="A3213" t="s">
        <v>2366</v>
      </c>
      <c r="B3213" s="8" t="s">
        <v>2367</v>
      </c>
      <c r="C3213" t="s">
        <v>6600</v>
      </c>
      <c r="D3213" s="8" t="s">
        <v>6601</v>
      </c>
    </row>
    <row r="3214" spans="1:4" x14ac:dyDescent="0.35">
      <c r="A3214" t="s">
        <v>2368</v>
      </c>
      <c r="B3214" s="8" t="s">
        <v>2369</v>
      </c>
      <c r="C3214" t="s">
        <v>6243</v>
      </c>
      <c r="D3214" s="8" t="s">
        <v>6244</v>
      </c>
    </row>
    <row r="3215" spans="1:4" x14ac:dyDescent="0.35">
      <c r="A3215" t="s">
        <v>2368</v>
      </c>
      <c r="B3215" s="8" t="s">
        <v>2369</v>
      </c>
      <c r="C3215" t="s">
        <v>6774</v>
      </c>
      <c r="D3215" s="8" t="s">
        <v>6775</v>
      </c>
    </row>
    <row r="3216" spans="1:4" x14ac:dyDescent="0.35">
      <c r="A3216" t="s">
        <v>2368</v>
      </c>
      <c r="B3216" s="8" t="s">
        <v>2369</v>
      </c>
      <c r="C3216" t="s">
        <v>6600</v>
      </c>
      <c r="D3216" s="8" t="s">
        <v>6601</v>
      </c>
    </row>
    <row r="3217" spans="1:4" x14ac:dyDescent="0.35">
      <c r="A3217" t="s">
        <v>2370</v>
      </c>
      <c r="B3217" s="8" t="s">
        <v>2371</v>
      </c>
      <c r="C3217" t="s">
        <v>6243</v>
      </c>
      <c r="D3217" s="8" t="s">
        <v>6244</v>
      </c>
    </row>
    <row r="3218" spans="1:4" x14ac:dyDescent="0.35">
      <c r="A3218" t="s">
        <v>2370</v>
      </c>
      <c r="B3218" s="8" t="s">
        <v>2371</v>
      </c>
      <c r="C3218" t="s">
        <v>6774</v>
      </c>
      <c r="D3218" s="8" t="s">
        <v>6775</v>
      </c>
    </row>
    <row r="3219" spans="1:4" x14ac:dyDescent="0.35">
      <c r="A3219" t="s">
        <v>2370</v>
      </c>
      <c r="B3219" s="8" t="s">
        <v>2371</v>
      </c>
      <c r="C3219" t="s">
        <v>6600</v>
      </c>
      <c r="D3219" s="8" t="s">
        <v>6601</v>
      </c>
    </row>
    <row r="3220" spans="1:4" x14ac:dyDescent="0.35">
      <c r="A3220" t="s">
        <v>2372</v>
      </c>
      <c r="B3220" s="8" t="s">
        <v>2373</v>
      </c>
      <c r="C3220" t="s">
        <v>6243</v>
      </c>
      <c r="D3220" s="8" t="s">
        <v>6244</v>
      </c>
    </row>
    <row r="3221" spans="1:4" x14ac:dyDescent="0.35">
      <c r="A3221" t="s">
        <v>2372</v>
      </c>
      <c r="B3221" s="8" t="s">
        <v>2373</v>
      </c>
      <c r="C3221" t="s">
        <v>7034</v>
      </c>
      <c r="D3221" s="8" t="s">
        <v>7035</v>
      </c>
    </row>
    <row r="3222" spans="1:4" x14ac:dyDescent="0.35">
      <c r="A3222" t="s">
        <v>2372</v>
      </c>
      <c r="B3222" s="8" t="s">
        <v>2373</v>
      </c>
      <c r="C3222" t="s">
        <v>7036</v>
      </c>
      <c r="D3222" s="8" t="s">
        <v>7037</v>
      </c>
    </row>
    <row r="3223" spans="1:4" x14ac:dyDescent="0.35">
      <c r="A3223" t="s">
        <v>2372</v>
      </c>
      <c r="B3223" s="8" t="s">
        <v>2373</v>
      </c>
      <c r="C3223" t="s">
        <v>6600</v>
      </c>
      <c r="D3223" s="8" t="s">
        <v>6601</v>
      </c>
    </row>
    <row r="3224" spans="1:4" x14ac:dyDescent="0.35">
      <c r="A3224" t="s">
        <v>2374</v>
      </c>
      <c r="B3224" s="8" t="s">
        <v>2375</v>
      </c>
      <c r="C3224" t="s">
        <v>6243</v>
      </c>
      <c r="D3224" s="8" t="s">
        <v>6244</v>
      </c>
    </row>
    <row r="3225" spans="1:4" x14ac:dyDescent="0.35">
      <c r="A3225" t="s">
        <v>2374</v>
      </c>
      <c r="B3225" s="8" t="s">
        <v>2375</v>
      </c>
      <c r="C3225" t="s">
        <v>6774</v>
      </c>
      <c r="D3225" s="8" t="s">
        <v>6775</v>
      </c>
    </row>
    <row r="3226" spans="1:4" x14ac:dyDescent="0.35">
      <c r="A3226" t="s">
        <v>2374</v>
      </c>
      <c r="B3226" s="8" t="s">
        <v>2375</v>
      </c>
      <c r="C3226" t="s">
        <v>6600</v>
      </c>
      <c r="D3226" s="8" t="s">
        <v>6601</v>
      </c>
    </row>
    <row r="3227" spans="1:4" x14ac:dyDescent="0.35">
      <c r="A3227" t="s">
        <v>2376</v>
      </c>
      <c r="B3227" s="8" t="s">
        <v>2377</v>
      </c>
      <c r="C3227" t="s">
        <v>6243</v>
      </c>
      <c r="D3227" s="8" t="s">
        <v>6244</v>
      </c>
    </row>
    <row r="3228" spans="1:4" x14ac:dyDescent="0.35">
      <c r="A3228" t="s">
        <v>2376</v>
      </c>
      <c r="B3228" s="8" t="s">
        <v>2377</v>
      </c>
      <c r="C3228" t="s">
        <v>6774</v>
      </c>
      <c r="D3228" s="8" t="s">
        <v>6775</v>
      </c>
    </row>
    <row r="3229" spans="1:4" x14ac:dyDescent="0.35">
      <c r="A3229" t="s">
        <v>2376</v>
      </c>
      <c r="B3229" s="8" t="s">
        <v>2377</v>
      </c>
      <c r="C3229" t="s">
        <v>6600</v>
      </c>
      <c r="D3229" s="8" t="s">
        <v>6601</v>
      </c>
    </row>
    <row r="3230" spans="1:4" x14ac:dyDescent="0.35">
      <c r="A3230" t="s">
        <v>2378</v>
      </c>
      <c r="B3230" s="8" t="s">
        <v>2380</v>
      </c>
      <c r="C3230" t="s">
        <v>6243</v>
      </c>
      <c r="D3230" s="8" t="s">
        <v>6244</v>
      </c>
    </row>
    <row r="3231" spans="1:4" x14ac:dyDescent="0.35">
      <c r="A3231" t="s">
        <v>2378</v>
      </c>
      <c r="B3231" s="8" t="s">
        <v>2380</v>
      </c>
      <c r="C3231" t="s">
        <v>6833</v>
      </c>
      <c r="D3231" s="8" t="s">
        <v>6834</v>
      </c>
    </row>
    <row r="3232" spans="1:4" x14ac:dyDescent="0.35">
      <c r="A3232" t="s">
        <v>2378</v>
      </c>
      <c r="B3232" s="8" t="s">
        <v>2380</v>
      </c>
      <c r="C3232" t="s">
        <v>6835</v>
      </c>
      <c r="D3232" s="8" t="s">
        <v>6836</v>
      </c>
    </row>
    <row r="3233" spans="1:4" x14ac:dyDescent="0.35">
      <c r="A3233" t="s">
        <v>2378</v>
      </c>
      <c r="B3233" s="8" t="s">
        <v>2380</v>
      </c>
      <c r="C3233" t="s">
        <v>6774</v>
      </c>
      <c r="D3233" s="8" t="s">
        <v>6775</v>
      </c>
    </row>
    <row r="3234" spans="1:4" x14ac:dyDescent="0.35">
      <c r="A3234" t="s">
        <v>2378</v>
      </c>
      <c r="B3234" s="8" t="s">
        <v>2380</v>
      </c>
      <c r="C3234" t="s">
        <v>6600</v>
      </c>
      <c r="D3234" s="8" t="s">
        <v>6601</v>
      </c>
    </row>
    <row r="3235" spans="1:4" x14ac:dyDescent="0.35">
      <c r="A3235" t="s">
        <v>2381</v>
      </c>
      <c r="B3235" s="8" t="s">
        <v>2382</v>
      </c>
      <c r="C3235" t="s">
        <v>6243</v>
      </c>
      <c r="D3235" s="8" t="s">
        <v>6244</v>
      </c>
    </row>
    <row r="3236" spans="1:4" x14ac:dyDescent="0.35">
      <c r="A3236" t="s">
        <v>2381</v>
      </c>
      <c r="B3236" s="8" t="s">
        <v>2382</v>
      </c>
      <c r="C3236" t="s">
        <v>6774</v>
      </c>
      <c r="D3236" s="8" t="s">
        <v>6775</v>
      </c>
    </row>
    <row r="3237" spans="1:4" x14ac:dyDescent="0.35">
      <c r="A3237" t="s">
        <v>2381</v>
      </c>
      <c r="B3237" s="8" t="s">
        <v>2382</v>
      </c>
      <c r="C3237" t="s">
        <v>6600</v>
      </c>
      <c r="D3237" s="8" t="s">
        <v>6601</v>
      </c>
    </row>
    <row r="3238" spans="1:4" x14ac:dyDescent="0.35">
      <c r="A3238" t="s">
        <v>2383</v>
      </c>
      <c r="B3238" s="8" t="s">
        <v>2384</v>
      </c>
      <c r="C3238" t="s">
        <v>6243</v>
      </c>
      <c r="D3238" s="8" t="s">
        <v>6244</v>
      </c>
    </row>
    <row r="3239" spans="1:4" x14ac:dyDescent="0.35">
      <c r="A3239" t="s">
        <v>2383</v>
      </c>
      <c r="B3239" s="8" t="s">
        <v>2384</v>
      </c>
      <c r="C3239" t="s">
        <v>6537</v>
      </c>
      <c r="D3239" s="8" t="s">
        <v>6538</v>
      </c>
    </row>
    <row r="3240" spans="1:4" x14ac:dyDescent="0.35">
      <c r="A3240" t="s">
        <v>2383</v>
      </c>
      <c r="B3240" s="8" t="s">
        <v>2384</v>
      </c>
      <c r="C3240" t="s">
        <v>6774</v>
      </c>
      <c r="D3240" s="8" t="s">
        <v>6775</v>
      </c>
    </row>
    <row r="3241" spans="1:4" x14ac:dyDescent="0.35">
      <c r="A3241" t="s">
        <v>2383</v>
      </c>
      <c r="B3241" s="8" t="s">
        <v>2384</v>
      </c>
      <c r="C3241" t="s">
        <v>6245</v>
      </c>
      <c r="D3241" s="8" t="s">
        <v>6246</v>
      </c>
    </row>
    <row r="3242" spans="1:4" x14ac:dyDescent="0.35">
      <c r="A3242" t="s">
        <v>2383</v>
      </c>
      <c r="B3242" s="8" t="s">
        <v>2384</v>
      </c>
      <c r="C3242" t="s">
        <v>6600</v>
      </c>
      <c r="D3242" s="8" t="s">
        <v>6601</v>
      </c>
    </row>
    <row r="3243" spans="1:4" x14ac:dyDescent="0.35">
      <c r="A3243" t="s">
        <v>2385</v>
      </c>
      <c r="B3243" s="8" t="s">
        <v>2386</v>
      </c>
      <c r="C3243" t="s">
        <v>6243</v>
      </c>
      <c r="D3243" s="8" t="s">
        <v>6244</v>
      </c>
    </row>
    <row r="3244" spans="1:4" x14ac:dyDescent="0.35">
      <c r="A3244" t="s">
        <v>2385</v>
      </c>
      <c r="B3244" s="8" t="s">
        <v>2386</v>
      </c>
      <c r="C3244" t="s">
        <v>6841</v>
      </c>
      <c r="D3244" s="8" t="s">
        <v>6842</v>
      </c>
    </row>
    <row r="3245" spans="1:4" x14ac:dyDescent="0.35">
      <c r="A3245" t="s">
        <v>2385</v>
      </c>
      <c r="B3245" s="8" t="s">
        <v>2386</v>
      </c>
      <c r="C3245" t="s">
        <v>6774</v>
      </c>
      <c r="D3245" s="8" t="s">
        <v>6775</v>
      </c>
    </row>
    <row r="3246" spans="1:4" x14ac:dyDescent="0.35">
      <c r="A3246" t="s">
        <v>2385</v>
      </c>
      <c r="B3246" s="8" t="s">
        <v>2386</v>
      </c>
      <c r="C3246" t="s">
        <v>6194</v>
      </c>
      <c r="D3246" s="8" t="s">
        <v>6195</v>
      </c>
    </row>
    <row r="3247" spans="1:4" x14ac:dyDescent="0.35">
      <c r="A3247" t="s">
        <v>7038</v>
      </c>
      <c r="B3247" s="8" t="s">
        <v>2387</v>
      </c>
      <c r="C3247" t="s">
        <v>6243</v>
      </c>
      <c r="D3247" s="8" t="s">
        <v>6244</v>
      </c>
    </row>
    <row r="3248" spans="1:4" x14ac:dyDescent="0.35">
      <c r="A3248" t="s">
        <v>7038</v>
      </c>
      <c r="B3248" s="8" t="s">
        <v>2387</v>
      </c>
      <c r="C3248" t="s">
        <v>7036</v>
      </c>
      <c r="D3248" s="8" t="s">
        <v>7037</v>
      </c>
    </row>
    <row r="3249" spans="1:4" x14ac:dyDescent="0.35">
      <c r="A3249" t="s">
        <v>7038</v>
      </c>
      <c r="B3249" s="8" t="s">
        <v>2387</v>
      </c>
      <c r="C3249" t="s">
        <v>6600</v>
      </c>
      <c r="D3249" s="8" t="s">
        <v>6601</v>
      </c>
    </row>
    <row r="3250" spans="1:4" x14ac:dyDescent="0.35">
      <c r="A3250" t="s">
        <v>2388</v>
      </c>
      <c r="B3250" s="8" t="s">
        <v>2389</v>
      </c>
      <c r="C3250" t="s">
        <v>6243</v>
      </c>
      <c r="D3250" s="8" t="s">
        <v>6244</v>
      </c>
    </row>
    <row r="3251" spans="1:4" x14ac:dyDescent="0.35">
      <c r="A3251" t="s">
        <v>2388</v>
      </c>
      <c r="B3251" s="8" t="s">
        <v>2389</v>
      </c>
      <c r="C3251" t="s">
        <v>6774</v>
      </c>
      <c r="D3251" s="8" t="s">
        <v>6775</v>
      </c>
    </row>
    <row r="3252" spans="1:4" x14ac:dyDescent="0.35">
      <c r="A3252" t="s">
        <v>2388</v>
      </c>
      <c r="B3252" s="8" t="s">
        <v>2389</v>
      </c>
      <c r="C3252" t="s">
        <v>6600</v>
      </c>
      <c r="D3252" s="8" t="s">
        <v>6601</v>
      </c>
    </row>
    <row r="3253" spans="1:4" x14ac:dyDescent="0.35">
      <c r="A3253" t="s">
        <v>2390</v>
      </c>
      <c r="B3253" s="8" t="s">
        <v>2391</v>
      </c>
      <c r="C3253" t="s">
        <v>6243</v>
      </c>
      <c r="D3253" s="8" t="s">
        <v>6244</v>
      </c>
    </row>
    <row r="3254" spans="1:4" x14ac:dyDescent="0.35">
      <c r="A3254" t="s">
        <v>2390</v>
      </c>
      <c r="B3254" s="8" t="s">
        <v>2391</v>
      </c>
      <c r="C3254" t="s">
        <v>7034</v>
      </c>
      <c r="D3254" s="8" t="s">
        <v>7035</v>
      </c>
    </row>
    <row r="3255" spans="1:4" x14ac:dyDescent="0.35">
      <c r="A3255" t="s">
        <v>2390</v>
      </c>
      <c r="B3255" s="8" t="s">
        <v>2391</v>
      </c>
      <c r="C3255" t="s">
        <v>6600</v>
      </c>
      <c r="D3255" s="8" t="s">
        <v>6601</v>
      </c>
    </row>
    <row r="3256" spans="1:4" x14ac:dyDescent="0.35">
      <c r="A3256" t="s">
        <v>2392</v>
      </c>
      <c r="B3256" s="8" t="s">
        <v>2393</v>
      </c>
      <c r="C3256" t="s">
        <v>6243</v>
      </c>
      <c r="D3256" s="8" t="s">
        <v>6244</v>
      </c>
    </row>
    <row r="3257" spans="1:4" x14ac:dyDescent="0.35">
      <c r="A3257" t="s">
        <v>2392</v>
      </c>
      <c r="B3257" s="8" t="s">
        <v>2393</v>
      </c>
      <c r="C3257" t="s">
        <v>6774</v>
      </c>
      <c r="D3257" s="8" t="s">
        <v>6775</v>
      </c>
    </row>
    <row r="3258" spans="1:4" x14ac:dyDescent="0.35">
      <c r="A3258" t="s">
        <v>2392</v>
      </c>
      <c r="B3258" s="8" t="s">
        <v>2393</v>
      </c>
      <c r="C3258" t="s">
        <v>6600</v>
      </c>
      <c r="D3258" s="8" t="s">
        <v>6601</v>
      </c>
    </row>
    <row r="3259" spans="1:4" x14ac:dyDescent="0.35">
      <c r="A3259" t="s">
        <v>2394</v>
      </c>
      <c r="B3259" s="8" t="s">
        <v>2395</v>
      </c>
      <c r="C3259" t="s">
        <v>6243</v>
      </c>
      <c r="D3259" s="8" t="s">
        <v>6244</v>
      </c>
    </row>
    <row r="3260" spans="1:4" x14ac:dyDescent="0.35">
      <c r="A3260" t="s">
        <v>2394</v>
      </c>
      <c r="B3260" s="8" t="s">
        <v>2395</v>
      </c>
      <c r="C3260" t="s">
        <v>7034</v>
      </c>
      <c r="D3260" s="8" t="s">
        <v>7035</v>
      </c>
    </row>
    <row r="3261" spans="1:4" x14ac:dyDescent="0.35">
      <c r="A3261" t="s">
        <v>2394</v>
      </c>
      <c r="B3261" s="8" t="s">
        <v>2395</v>
      </c>
      <c r="C3261" t="s">
        <v>7039</v>
      </c>
      <c r="D3261" s="8" t="s">
        <v>7040</v>
      </c>
    </row>
    <row r="3262" spans="1:4" x14ac:dyDescent="0.35">
      <c r="A3262" t="s">
        <v>2394</v>
      </c>
      <c r="B3262" s="8" t="s">
        <v>2395</v>
      </c>
      <c r="C3262" t="s">
        <v>6956</v>
      </c>
      <c r="D3262" s="8" t="s">
        <v>6957</v>
      </c>
    </row>
    <row r="3263" spans="1:4" x14ac:dyDescent="0.35">
      <c r="A3263" t="s">
        <v>2394</v>
      </c>
      <c r="B3263" s="8" t="s">
        <v>2395</v>
      </c>
      <c r="C3263" t="s">
        <v>6600</v>
      </c>
      <c r="D3263" s="8" t="s">
        <v>6601</v>
      </c>
    </row>
    <row r="3264" spans="1:4" x14ac:dyDescent="0.35">
      <c r="A3264" t="s">
        <v>2396</v>
      </c>
      <c r="B3264" s="8" t="s">
        <v>2397</v>
      </c>
      <c r="C3264" t="s">
        <v>6352</v>
      </c>
      <c r="D3264" s="8" t="s">
        <v>6353</v>
      </c>
    </row>
    <row r="3265" spans="1:4" x14ac:dyDescent="0.35">
      <c r="A3265" t="s">
        <v>2396</v>
      </c>
      <c r="B3265" s="8" t="s">
        <v>2397</v>
      </c>
      <c r="C3265" t="s">
        <v>6354</v>
      </c>
      <c r="D3265" s="8" t="s">
        <v>6355</v>
      </c>
    </row>
    <row r="3266" spans="1:4" x14ac:dyDescent="0.35">
      <c r="A3266" t="s">
        <v>2396</v>
      </c>
      <c r="B3266" s="8" t="s">
        <v>2397</v>
      </c>
      <c r="C3266" t="s">
        <v>6243</v>
      </c>
      <c r="D3266" s="8" t="s">
        <v>6244</v>
      </c>
    </row>
    <row r="3267" spans="1:4" x14ac:dyDescent="0.35">
      <c r="A3267" t="s">
        <v>2396</v>
      </c>
      <c r="B3267" s="8" t="s">
        <v>2397</v>
      </c>
      <c r="C3267" t="s">
        <v>7041</v>
      </c>
      <c r="D3267" s="8" t="s">
        <v>7042</v>
      </c>
    </row>
    <row r="3268" spans="1:4" x14ac:dyDescent="0.35">
      <c r="A3268" t="s">
        <v>2396</v>
      </c>
      <c r="B3268" s="8" t="s">
        <v>2397</v>
      </c>
      <c r="C3268" t="s">
        <v>6535</v>
      </c>
      <c r="D3268" s="8" t="s">
        <v>6536</v>
      </c>
    </row>
    <row r="3269" spans="1:4" x14ac:dyDescent="0.35">
      <c r="A3269" t="s">
        <v>2396</v>
      </c>
      <c r="B3269" s="8" t="s">
        <v>2397</v>
      </c>
      <c r="C3269" t="s">
        <v>6356</v>
      </c>
      <c r="D3269" s="8" t="s">
        <v>6357</v>
      </c>
    </row>
    <row r="3270" spans="1:4" x14ac:dyDescent="0.35">
      <c r="A3270" t="s">
        <v>2396</v>
      </c>
      <c r="B3270" s="8" t="s">
        <v>2397</v>
      </c>
      <c r="C3270" t="s">
        <v>7032</v>
      </c>
      <c r="D3270" s="8" t="s">
        <v>7033</v>
      </c>
    </row>
    <row r="3271" spans="1:4" x14ac:dyDescent="0.35">
      <c r="A3271" t="s">
        <v>2396</v>
      </c>
      <c r="B3271" s="8" t="s">
        <v>2397</v>
      </c>
      <c r="C3271" t="s">
        <v>6600</v>
      </c>
      <c r="D3271" s="8" t="s">
        <v>6601</v>
      </c>
    </row>
    <row r="3272" spans="1:4" x14ac:dyDescent="0.35">
      <c r="A3272" t="s">
        <v>2398</v>
      </c>
      <c r="B3272" s="8" t="s">
        <v>2399</v>
      </c>
      <c r="C3272" t="s">
        <v>6243</v>
      </c>
      <c r="D3272" s="8" t="s">
        <v>6244</v>
      </c>
    </row>
    <row r="3273" spans="1:4" x14ac:dyDescent="0.35">
      <c r="A3273" t="s">
        <v>2398</v>
      </c>
      <c r="B3273" s="8" t="s">
        <v>2399</v>
      </c>
      <c r="C3273" t="s">
        <v>7043</v>
      </c>
      <c r="D3273" s="8" t="s">
        <v>7044</v>
      </c>
    </row>
    <row r="3274" spans="1:4" x14ac:dyDescent="0.35">
      <c r="A3274" t="s">
        <v>2398</v>
      </c>
      <c r="B3274" s="8" t="s">
        <v>2399</v>
      </c>
      <c r="C3274" t="s">
        <v>6556</v>
      </c>
      <c r="D3274" s="8" t="s">
        <v>6557</v>
      </c>
    </row>
    <row r="3275" spans="1:4" x14ac:dyDescent="0.35">
      <c r="A3275" t="s">
        <v>2398</v>
      </c>
      <c r="B3275" s="8" t="s">
        <v>2399</v>
      </c>
      <c r="C3275" t="s">
        <v>6600</v>
      </c>
      <c r="D3275" s="8" t="s">
        <v>6601</v>
      </c>
    </row>
    <row r="3276" spans="1:4" x14ac:dyDescent="0.35">
      <c r="A3276" t="s">
        <v>2400</v>
      </c>
      <c r="B3276" s="8" t="s">
        <v>2401</v>
      </c>
      <c r="C3276" t="s">
        <v>6243</v>
      </c>
      <c r="D3276" s="8" t="s">
        <v>6244</v>
      </c>
    </row>
    <row r="3277" spans="1:4" x14ac:dyDescent="0.35">
      <c r="A3277" t="s">
        <v>2400</v>
      </c>
      <c r="B3277" s="8" t="s">
        <v>2401</v>
      </c>
      <c r="C3277" t="s">
        <v>7043</v>
      </c>
      <c r="D3277" s="8" t="s">
        <v>7044</v>
      </c>
    </row>
    <row r="3278" spans="1:4" x14ac:dyDescent="0.35">
      <c r="A3278" t="s">
        <v>2400</v>
      </c>
      <c r="B3278" s="8" t="s">
        <v>2401</v>
      </c>
      <c r="C3278" t="s">
        <v>6774</v>
      </c>
      <c r="D3278" s="8" t="s">
        <v>6775</v>
      </c>
    </row>
    <row r="3279" spans="1:4" x14ac:dyDescent="0.35">
      <c r="A3279" t="s">
        <v>2400</v>
      </c>
      <c r="B3279" s="8" t="s">
        <v>2401</v>
      </c>
      <c r="C3279" t="s">
        <v>6600</v>
      </c>
      <c r="D3279" s="8" t="s">
        <v>6601</v>
      </c>
    </row>
    <row r="3280" spans="1:4" x14ac:dyDescent="0.35">
      <c r="A3280" t="s">
        <v>2402</v>
      </c>
      <c r="B3280" s="8" t="s">
        <v>2403</v>
      </c>
      <c r="C3280" t="s">
        <v>6243</v>
      </c>
      <c r="D3280" s="8" t="s">
        <v>6244</v>
      </c>
    </row>
    <row r="3281" spans="1:4" x14ac:dyDescent="0.35">
      <c r="A3281" t="s">
        <v>2402</v>
      </c>
      <c r="B3281" s="8" t="s">
        <v>2403</v>
      </c>
      <c r="C3281" t="s">
        <v>7034</v>
      </c>
      <c r="D3281" s="8" t="s">
        <v>7035</v>
      </c>
    </row>
    <row r="3282" spans="1:4" x14ac:dyDescent="0.35">
      <c r="A3282" t="s">
        <v>2402</v>
      </c>
      <c r="B3282" s="8" t="s">
        <v>2403</v>
      </c>
      <c r="C3282" t="s">
        <v>6774</v>
      </c>
      <c r="D3282" s="8" t="s">
        <v>6775</v>
      </c>
    </row>
    <row r="3283" spans="1:4" x14ac:dyDescent="0.35">
      <c r="A3283" t="s">
        <v>2402</v>
      </c>
      <c r="B3283" s="8" t="s">
        <v>2403</v>
      </c>
      <c r="C3283" t="s">
        <v>6600</v>
      </c>
      <c r="D3283" s="8" t="s">
        <v>6601</v>
      </c>
    </row>
    <row r="3284" spans="1:4" x14ac:dyDescent="0.35">
      <c r="A3284" t="s">
        <v>2404</v>
      </c>
      <c r="B3284" s="8" t="s">
        <v>2405</v>
      </c>
      <c r="C3284" t="s">
        <v>6243</v>
      </c>
      <c r="D3284" s="8" t="s">
        <v>6244</v>
      </c>
    </row>
    <row r="3285" spans="1:4" x14ac:dyDescent="0.35">
      <c r="A3285" t="s">
        <v>2404</v>
      </c>
      <c r="B3285" s="8" t="s">
        <v>2405</v>
      </c>
      <c r="C3285" t="s">
        <v>6774</v>
      </c>
      <c r="D3285" s="8" t="s">
        <v>6775</v>
      </c>
    </row>
    <row r="3286" spans="1:4" x14ac:dyDescent="0.35">
      <c r="A3286" t="s">
        <v>2404</v>
      </c>
      <c r="B3286" s="8" t="s">
        <v>2405</v>
      </c>
      <c r="C3286" t="s">
        <v>6600</v>
      </c>
      <c r="D3286" s="8" t="s">
        <v>6601</v>
      </c>
    </row>
    <row r="3287" spans="1:4" x14ac:dyDescent="0.35">
      <c r="A3287" t="s">
        <v>2406</v>
      </c>
      <c r="B3287" s="8" t="s">
        <v>2407</v>
      </c>
      <c r="C3287" t="s">
        <v>6243</v>
      </c>
      <c r="D3287" s="8" t="s">
        <v>6244</v>
      </c>
    </row>
    <row r="3288" spans="1:4" x14ac:dyDescent="0.35">
      <c r="A3288" t="s">
        <v>2406</v>
      </c>
      <c r="B3288" s="8" t="s">
        <v>2407</v>
      </c>
      <c r="C3288" t="s">
        <v>7034</v>
      </c>
      <c r="D3288" s="8" t="s">
        <v>7035</v>
      </c>
    </row>
    <row r="3289" spans="1:4" x14ac:dyDescent="0.35">
      <c r="A3289" t="s">
        <v>2406</v>
      </c>
      <c r="B3289" s="8" t="s">
        <v>2407</v>
      </c>
      <c r="C3289" t="s">
        <v>6600</v>
      </c>
      <c r="D3289" s="8" t="s">
        <v>6601</v>
      </c>
    </row>
    <row r="3290" spans="1:4" x14ac:dyDescent="0.35">
      <c r="A3290" t="s">
        <v>2408</v>
      </c>
      <c r="B3290" s="8" t="s">
        <v>2409</v>
      </c>
      <c r="C3290" t="s">
        <v>6243</v>
      </c>
      <c r="D3290" s="8" t="s">
        <v>6244</v>
      </c>
    </row>
    <row r="3291" spans="1:4" x14ac:dyDescent="0.35">
      <c r="A3291" t="s">
        <v>2408</v>
      </c>
      <c r="B3291" s="8" t="s">
        <v>2409</v>
      </c>
      <c r="C3291" t="s">
        <v>7034</v>
      </c>
      <c r="D3291" s="8" t="s">
        <v>7035</v>
      </c>
    </row>
    <row r="3292" spans="1:4" x14ac:dyDescent="0.35">
      <c r="A3292" t="s">
        <v>2408</v>
      </c>
      <c r="B3292" s="8" t="s">
        <v>2409</v>
      </c>
      <c r="C3292" t="s">
        <v>6774</v>
      </c>
      <c r="D3292" s="8" t="s">
        <v>6775</v>
      </c>
    </row>
    <row r="3293" spans="1:4" x14ac:dyDescent="0.35">
      <c r="A3293" t="s">
        <v>2408</v>
      </c>
      <c r="B3293" s="8" t="s">
        <v>2409</v>
      </c>
      <c r="C3293" t="s">
        <v>6600</v>
      </c>
      <c r="D3293" s="8" t="s">
        <v>6601</v>
      </c>
    </row>
    <row r="3294" spans="1:4" x14ac:dyDescent="0.35">
      <c r="A3294" t="s">
        <v>2410</v>
      </c>
      <c r="B3294" s="8" t="s">
        <v>2411</v>
      </c>
      <c r="C3294" t="s">
        <v>6243</v>
      </c>
      <c r="D3294" s="8" t="s">
        <v>6244</v>
      </c>
    </row>
    <row r="3295" spans="1:4" x14ac:dyDescent="0.35">
      <c r="A3295" t="s">
        <v>2410</v>
      </c>
      <c r="B3295" s="8" t="s">
        <v>2411</v>
      </c>
      <c r="C3295" t="s">
        <v>7034</v>
      </c>
      <c r="D3295" s="8" t="s">
        <v>7035</v>
      </c>
    </row>
    <row r="3296" spans="1:4" x14ac:dyDescent="0.35">
      <c r="A3296" t="s">
        <v>2410</v>
      </c>
      <c r="B3296" s="8" t="s">
        <v>2411</v>
      </c>
      <c r="C3296" t="s">
        <v>6774</v>
      </c>
      <c r="D3296" s="8" t="s">
        <v>6775</v>
      </c>
    </row>
    <row r="3297" spans="1:4" x14ac:dyDescent="0.35">
      <c r="A3297" t="s">
        <v>2410</v>
      </c>
      <c r="B3297" s="8" t="s">
        <v>2411</v>
      </c>
      <c r="C3297" t="s">
        <v>6600</v>
      </c>
      <c r="D3297" s="8" t="s">
        <v>6601</v>
      </c>
    </row>
    <row r="3298" spans="1:4" x14ac:dyDescent="0.35">
      <c r="A3298" t="s">
        <v>2412</v>
      </c>
      <c r="B3298" s="8" t="s">
        <v>2413</v>
      </c>
      <c r="C3298" t="s">
        <v>6243</v>
      </c>
      <c r="D3298" s="8" t="s">
        <v>6244</v>
      </c>
    </row>
    <row r="3299" spans="1:4" x14ac:dyDescent="0.35">
      <c r="A3299" t="s">
        <v>2412</v>
      </c>
      <c r="B3299" s="8" t="s">
        <v>2413</v>
      </c>
      <c r="C3299" t="s">
        <v>6774</v>
      </c>
      <c r="D3299" s="8" t="s">
        <v>6775</v>
      </c>
    </row>
    <row r="3300" spans="1:4" x14ac:dyDescent="0.35">
      <c r="A3300" t="s">
        <v>2412</v>
      </c>
      <c r="B3300" s="8" t="s">
        <v>2413</v>
      </c>
      <c r="C3300" t="s">
        <v>6600</v>
      </c>
      <c r="D3300" s="8" t="s">
        <v>6601</v>
      </c>
    </row>
    <row r="3301" spans="1:4" x14ac:dyDescent="0.35">
      <c r="A3301" t="s">
        <v>2414</v>
      </c>
      <c r="B3301" s="8" t="s">
        <v>2415</v>
      </c>
      <c r="C3301" t="s">
        <v>6243</v>
      </c>
      <c r="D3301" s="8" t="s">
        <v>6244</v>
      </c>
    </row>
    <row r="3302" spans="1:4" x14ac:dyDescent="0.35">
      <c r="A3302" t="s">
        <v>2414</v>
      </c>
      <c r="B3302" s="8" t="s">
        <v>2415</v>
      </c>
      <c r="C3302" t="s">
        <v>6774</v>
      </c>
      <c r="D3302" s="8" t="s">
        <v>6775</v>
      </c>
    </row>
    <row r="3303" spans="1:4" x14ac:dyDescent="0.35">
      <c r="A3303" t="s">
        <v>2414</v>
      </c>
      <c r="B3303" s="8" t="s">
        <v>2415</v>
      </c>
      <c r="C3303" t="s">
        <v>6600</v>
      </c>
      <c r="D3303" s="8" t="s">
        <v>6601</v>
      </c>
    </row>
    <row r="3304" spans="1:4" x14ac:dyDescent="0.35">
      <c r="A3304" t="s">
        <v>2416</v>
      </c>
      <c r="B3304" s="8" t="s">
        <v>2417</v>
      </c>
      <c r="C3304" t="s">
        <v>6243</v>
      </c>
      <c r="D3304" s="8" t="s">
        <v>6244</v>
      </c>
    </row>
    <row r="3305" spans="1:4" x14ac:dyDescent="0.35">
      <c r="A3305" t="s">
        <v>2416</v>
      </c>
      <c r="B3305" s="8" t="s">
        <v>2417</v>
      </c>
      <c r="C3305" t="s">
        <v>7034</v>
      </c>
      <c r="D3305" s="8" t="s">
        <v>7035</v>
      </c>
    </row>
    <row r="3306" spans="1:4" x14ac:dyDescent="0.35">
      <c r="A3306" t="s">
        <v>2416</v>
      </c>
      <c r="B3306" s="8" t="s">
        <v>2417</v>
      </c>
      <c r="C3306" t="s">
        <v>6774</v>
      </c>
      <c r="D3306" s="8" t="s">
        <v>6775</v>
      </c>
    </row>
    <row r="3307" spans="1:4" x14ac:dyDescent="0.35">
      <c r="A3307" t="s">
        <v>2416</v>
      </c>
      <c r="B3307" s="8" t="s">
        <v>2417</v>
      </c>
      <c r="C3307" t="s">
        <v>6600</v>
      </c>
      <c r="D3307" s="8" t="s">
        <v>6601</v>
      </c>
    </row>
    <row r="3308" spans="1:4" x14ac:dyDescent="0.35">
      <c r="A3308" t="s">
        <v>2416</v>
      </c>
      <c r="B3308" s="8" t="s">
        <v>2417</v>
      </c>
      <c r="C3308" t="s">
        <v>6504</v>
      </c>
      <c r="D3308" s="8" t="s">
        <v>6505</v>
      </c>
    </row>
    <row r="3309" spans="1:4" x14ac:dyDescent="0.35">
      <c r="A3309" t="s">
        <v>7045</v>
      </c>
      <c r="B3309" s="8" t="s">
        <v>2418</v>
      </c>
      <c r="C3309" t="s">
        <v>6774</v>
      </c>
      <c r="D3309" s="8" t="s">
        <v>6775</v>
      </c>
    </row>
    <row r="3310" spans="1:4" x14ac:dyDescent="0.35">
      <c r="A3310" t="s">
        <v>7045</v>
      </c>
      <c r="B3310" s="8" t="s">
        <v>2418</v>
      </c>
      <c r="C3310" t="s">
        <v>6600</v>
      </c>
      <c r="D3310" s="8" t="s">
        <v>6601</v>
      </c>
    </row>
    <row r="3311" spans="1:4" x14ac:dyDescent="0.35">
      <c r="A3311" t="s">
        <v>7045</v>
      </c>
      <c r="B3311" s="8" t="s">
        <v>2418</v>
      </c>
      <c r="C3311" t="s">
        <v>6584</v>
      </c>
      <c r="D3311" s="8" t="s">
        <v>6585</v>
      </c>
    </row>
    <row r="3312" spans="1:4" x14ac:dyDescent="0.35">
      <c r="A3312" t="s">
        <v>7046</v>
      </c>
      <c r="B3312" s="8" t="s">
        <v>2419</v>
      </c>
      <c r="C3312" t="s">
        <v>6774</v>
      </c>
      <c r="D3312" s="8" t="s">
        <v>6775</v>
      </c>
    </row>
    <row r="3313" spans="1:4" x14ac:dyDescent="0.35">
      <c r="A3313" t="s">
        <v>7046</v>
      </c>
      <c r="B3313" s="8" t="s">
        <v>2419</v>
      </c>
      <c r="C3313" t="s">
        <v>6600</v>
      </c>
      <c r="D3313" s="8" t="s">
        <v>6601</v>
      </c>
    </row>
    <row r="3314" spans="1:4" x14ac:dyDescent="0.35">
      <c r="A3314" t="s">
        <v>7047</v>
      </c>
      <c r="B3314" s="8" t="s">
        <v>2420</v>
      </c>
      <c r="C3314" t="s">
        <v>6774</v>
      </c>
      <c r="D3314" s="8" t="s">
        <v>6775</v>
      </c>
    </row>
    <row r="3315" spans="1:4" x14ac:dyDescent="0.35">
      <c r="A3315" t="s">
        <v>7047</v>
      </c>
      <c r="B3315" s="8" t="s">
        <v>2420</v>
      </c>
      <c r="C3315" t="s">
        <v>6600</v>
      </c>
      <c r="D3315" s="8" t="s">
        <v>6601</v>
      </c>
    </row>
    <row r="3316" spans="1:4" x14ac:dyDescent="0.35">
      <c r="A3316" t="s">
        <v>2421</v>
      </c>
      <c r="B3316" s="8" t="s">
        <v>2422</v>
      </c>
      <c r="C3316" t="s">
        <v>6243</v>
      </c>
      <c r="D3316" s="8" t="s">
        <v>6244</v>
      </c>
    </row>
    <row r="3317" spans="1:4" x14ac:dyDescent="0.35">
      <c r="A3317" t="s">
        <v>2421</v>
      </c>
      <c r="B3317" s="8" t="s">
        <v>2422</v>
      </c>
      <c r="C3317" t="s">
        <v>6774</v>
      </c>
      <c r="D3317" s="8" t="s">
        <v>6775</v>
      </c>
    </row>
    <row r="3318" spans="1:4" x14ac:dyDescent="0.35">
      <c r="A3318" t="s">
        <v>2421</v>
      </c>
      <c r="B3318" s="8" t="s">
        <v>2422</v>
      </c>
      <c r="C3318" t="s">
        <v>6600</v>
      </c>
      <c r="D3318" s="8" t="s">
        <v>6601</v>
      </c>
    </row>
    <row r="3319" spans="1:4" x14ac:dyDescent="0.35">
      <c r="A3319" t="s">
        <v>2423</v>
      </c>
      <c r="B3319" s="8" t="s">
        <v>2424</v>
      </c>
      <c r="C3319" t="s">
        <v>6243</v>
      </c>
      <c r="D3319" s="8" t="s">
        <v>6244</v>
      </c>
    </row>
    <row r="3320" spans="1:4" x14ac:dyDescent="0.35">
      <c r="A3320" t="s">
        <v>2423</v>
      </c>
      <c r="B3320" s="8" t="s">
        <v>2424</v>
      </c>
      <c r="C3320" t="s">
        <v>6774</v>
      </c>
      <c r="D3320" s="8" t="s">
        <v>6775</v>
      </c>
    </row>
    <row r="3321" spans="1:4" x14ac:dyDescent="0.35">
      <c r="A3321" t="s">
        <v>2423</v>
      </c>
      <c r="B3321" s="8" t="s">
        <v>2424</v>
      </c>
      <c r="C3321" t="s">
        <v>6600</v>
      </c>
      <c r="D3321" s="8" t="s">
        <v>6601</v>
      </c>
    </row>
    <row r="3322" spans="1:4" x14ac:dyDescent="0.35">
      <c r="A3322" t="s">
        <v>7048</v>
      </c>
      <c r="B3322" s="8" t="s">
        <v>2425</v>
      </c>
      <c r="C3322" t="s">
        <v>6243</v>
      </c>
      <c r="D3322" s="8" t="s">
        <v>6244</v>
      </c>
    </row>
    <row r="3323" spans="1:4" x14ac:dyDescent="0.35">
      <c r="A3323" t="s">
        <v>7048</v>
      </c>
      <c r="B3323" s="8" t="s">
        <v>2425</v>
      </c>
      <c r="C3323" t="s">
        <v>6839</v>
      </c>
      <c r="D3323" s="8" t="s">
        <v>6840</v>
      </c>
    </row>
    <row r="3324" spans="1:4" x14ac:dyDescent="0.35">
      <c r="A3324" t="s">
        <v>7048</v>
      </c>
      <c r="B3324" s="8" t="s">
        <v>2425</v>
      </c>
      <c r="C3324" t="s">
        <v>7016</v>
      </c>
      <c r="D3324" s="8" t="s">
        <v>7017</v>
      </c>
    </row>
    <row r="3325" spans="1:4" x14ac:dyDescent="0.35">
      <c r="A3325" t="s">
        <v>7048</v>
      </c>
      <c r="B3325" s="8" t="s">
        <v>2425</v>
      </c>
      <c r="C3325" t="s">
        <v>6249</v>
      </c>
      <c r="D3325" s="8" t="s">
        <v>6250</v>
      </c>
    </row>
    <row r="3326" spans="1:4" x14ac:dyDescent="0.35">
      <c r="A3326" t="s">
        <v>7048</v>
      </c>
      <c r="B3326" s="8" t="s">
        <v>2425</v>
      </c>
      <c r="C3326" t="s">
        <v>7049</v>
      </c>
      <c r="D3326" s="8" t="s">
        <v>7050</v>
      </c>
    </row>
    <row r="3327" spans="1:4" x14ac:dyDescent="0.35">
      <c r="A3327" t="s">
        <v>7048</v>
      </c>
      <c r="B3327" s="8" t="s">
        <v>2425</v>
      </c>
      <c r="C3327" t="s">
        <v>6251</v>
      </c>
      <c r="D3327" s="8" t="s">
        <v>6252</v>
      </c>
    </row>
    <row r="3328" spans="1:4" x14ac:dyDescent="0.35">
      <c r="A3328" t="s">
        <v>7048</v>
      </c>
      <c r="B3328" s="8" t="s">
        <v>2425</v>
      </c>
      <c r="C3328" t="s">
        <v>7051</v>
      </c>
      <c r="D3328" s="8" t="s">
        <v>7052</v>
      </c>
    </row>
    <row r="3329" spans="1:4" x14ac:dyDescent="0.35">
      <c r="A3329" t="s">
        <v>7048</v>
      </c>
      <c r="B3329" s="8" t="s">
        <v>2425</v>
      </c>
      <c r="C3329" t="s">
        <v>6259</v>
      </c>
      <c r="D3329" s="8" t="s">
        <v>6260</v>
      </c>
    </row>
    <row r="3330" spans="1:4" x14ac:dyDescent="0.35">
      <c r="A3330" t="s">
        <v>7048</v>
      </c>
      <c r="B3330" s="8" t="s">
        <v>2425</v>
      </c>
      <c r="C3330" t="s">
        <v>6263</v>
      </c>
      <c r="D3330" s="8" t="s">
        <v>6264</v>
      </c>
    </row>
    <row r="3331" spans="1:4" x14ac:dyDescent="0.35">
      <c r="A3331" t="s">
        <v>2426</v>
      </c>
      <c r="B3331" s="8" t="s">
        <v>2427</v>
      </c>
      <c r="C3331" t="s">
        <v>6249</v>
      </c>
      <c r="D3331" s="8" t="s">
        <v>6250</v>
      </c>
    </row>
    <row r="3332" spans="1:4" x14ac:dyDescent="0.35">
      <c r="A3332" t="s">
        <v>2426</v>
      </c>
      <c r="B3332" s="8" t="s">
        <v>2427</v>
      </c>
      <c r="C3332" t="s">
        <v>7049</v>
      </c>
      <c r="D3332" s="8" t="s">
        <v>7050</v>
      </c>
    </row>
    <row r="3333" spans="1:4" x14ac:dyDescent="0.35">
      <c r="A3333" t="s">
        <v>2426</v>
      </c>
      <c r="B3333" s="8" t="s">
        <v>2427</v>
      </c>
      <c r="C3333" t="s">
        <v>6251</v>
      </c>
      <c r="D3333" s="8" t="s">
        <v>6252</v>
      </c>
    </row>
    <row r="3334" spans="1:4" x14ac:dyDescent="0.35">
      <c r="A3334" t="s">
        <v>2426</v>
      </c>
      <c r="B3334" s="8" t="s">
        <v>2427</v>
      </c>
      <c r="C3334" t="s">
        <v>7051</v>
      </c>
      <c r="D3334" s="8" t="s">
        <v>7052</v>
      </c>
    </row>
    <row r="3335" spans="1:4" x14ac:dyDescent="0.35">
      <c r="A3335" t="s">
        <v>2428</v>
      </c>
      <c r="B3335" s="8" t="s">
        <v>2429</v>
      </c>
      <c r="C3335" t="s">
        <v>6243</v>
      </c>
      <c r="D3335" s="8" t="s">
        <v>6244</v>
      </c>
    </row>
    <row r="3336" spans="1:4" x14ac:dyDescent="0.35">
      <c r="A3336" t="s">
        <v>2428</v>
      </c>
      <c r="B3336" s="8" t="s">
        <v>2429</v>
      </c>
      <c r="C3336" t="s">
        <v>6249</v>
      </c>
      <c r="D3336" s="8" t="s">
        <v>6250</v>
      </c>
    </row>
    <row r="3337" spans="1:4" x14ac:dyDescent="0.35">
      <c r="A3337" t="s">
        <v>2428</v>
      </c>
      <c r="B3337" s="8" t="s">
        <v>2429</v>
      </c>
      <c r="C3337" t="s">
        <v>6251</v>
      </c>
      <c r="D3337" s="8" t="s">
        <v>6252</v>
      </c>
    </row>
    <row r="3338" spans="1:4" x14ac:dyDescent="0.35">
      <c r="A3338" t="s">
        <v>2430</v>
      </c>
      <c r="B3338" s="8" t="s">
        <v>2431</v>
      </c>
      <c r="C3338" t="s">
        <v>7016</v>
      </c>
      <c r="D3338" s="8" t="s">
        <v>7017</v>
      </c>
    </row>
    <row r="3339" spans="1:4" x14ac:dyDescent="0.35">
      <c r="A3339" t="s">
        <v>2430</v>
      </c>
      <c r="B3339" s="8" t="s">
        <v>2431</v>
      </c>
      <c r="C3339" t="s">
        <v>6249</v>
      </c>
      <c r="D3339" s="8" t="s">
        <v>6250</v>
      </c>
    </row>
    <row r="3340" spans="1:4" x14ac:dyDescent="0.35">
      <c r="A3340" t="s">
        <v>2430</v>
      </c>
      <c r="B3340" s="8" t="s">
        <v>2431</v>
      </c>
      <c r="C3340" t="s">
        <v>7049</v>
      </c>
      <c r="D3340" s="8" t="s">
        <v>7050</v>
      </c>
    </row>
    <row r="3341" spans="1:4" x14ac:dyDescent="0.35">
      <c r="A3341" t="s">
        <v>2430</v>
      </c>
      <c r="B3341" s="8" t="s">
        <v>2431</v>
      </c>
      <c r="C3341" t="s">
        <v>6251</v>
      </c>
      <c r="D3341" s="8" t="s">
        <v>6252</v>
      </c>
    </row>
    <row r="3342" spans="1:4" x14ac:dyDescent="0.35">
      <c r="A3342" t="s">
        <v>2434</v>
      </c>
      <c r="B3342" s="8" t="s">
        <v>2435</v>
      </c>
      <c r="C3342" t="s">
        <v>6249</v>
      </c>
      <c r="D3342" s="8" t="s">
        <v>6250</v>
      </c>
    </row>
    <row r="3343" spans="1:4" x14ac:dyDescent="0.35">
      <c r="A3343" t="s">
        <v>2434</v>
      </c>
      <c r="B3343" s="8" t="s">
        <v>2435</v>
      </c>
      <c r="C3343" t="s">
        <v>7053</v>
      </c>
      <c r="D3343" s="8" t="s">
        <v>7054</v>
      </c>
    </row>
    <row r="3344" spans="1:4" x14ac:dyDescent="0.35">
      <c r="A3344" t="s">
        <v>2434</v>
      </c>
      <c r="B3344" s="8" t="s">
        <v>2435</v>
      </c>
      <c r="C3344" t="s">
        <v>6259</v>
      </c>
      <c r="D3344" s="8" t="s">
        <v>6260</v>
      </c>
    </row>
    <row r="3345" spans="1:4" x14ac:dyDescent="0.35">
      <c r="A3345" t="s">
        <v>2434</v>
      </c>
      <c r="B3345" s="8" t="s">
        <v>2435</v>
      </c>
      <c r="C3345" t="s">
        <v>6263</v>
      </c>
      <c r="D3345" s="8" t="s">
        <v>6264</v>
      </c>
    </row>
    <row r="3346" spans="1:4" x14ac:dyDescent="0.35">
      <c r="A3346" t="s">
        <v>2434</v>
      </c>
      <c r="B3346" s="8" t="s">
        <v>2435</v>
      </c>
      <c r="C3346" t="s">
        <v>7055</v>
      </c>
      <c r="D3346" s="8" t="s">
        <v>7056</v>
      </c>
    </row>
    <row r="3347" spans="1:4" x14ac:dyDescent="0.35">
      <c r="A3347" t="s">
        <v>2436</v>
      </c>
      <c r="B3347" s="8" t="s">
        <v>2437</v>
      </c>
      <c r="C3347" t="s">
        <v>6249</v>
      </c>
      <c r="D3347" s="8" t="s">
        <v>6250</v>
      </c>
    </row>
    <row r="3348" spans="1:4" x14ac:dyDescent="0.35">
      <c r="A3348" t="s">
        <v>2436</v>
      </c>
      <c r="B3348" s="8" t="s">
        <v>2437</v>
      </c>
      <c r="C3348" t="s">
        <v>7057</v>
      </c>
      <c r="D3348" s="8" t="s">
        <v>7058</v>
      </c>
    </row>
    <row r="3349" spans="1:4" x14ac:dyDescent="0.35">
      <c r="A3349" t="s">
        <v>2436</v>
      </c>
      <c r="B3349" s="8" t="s">
        <v>2437</v>
      </c>
      <c r="C3349" t="s">
        <v>7059</v>
      </c>
      <c r="D3349" s="8" t="s">
        <v>7060</v>
      </c>
    </row>
    <row r="3350" spans="1:4" x14ac:dyDescent="0.35">
      <c r="A3350" t="s">
        <v>2436</v>
      </c>
      <c r="B3350" s="8" t="s">
        <v>2437</v>
      </c>
      <c r="C3350" t="s">
        <v>6488</v>
      </c>
      <c r="D3350" s="8" t="s">
        <v>6489</v>
      </c>
    </row>
    <row r="3351" spans="1:4" x14ac:dyDescent="0.35">
      <c r="A3351" t="s">
        <v>2436</v>
      </c>
      <c r="B3351" s="8" t="s">
        <v>2437</v>
      </c>
      <c r="C3351" t="s">
        <v>7061</v>
      </c>
      <c r="D3351" s="8" t="s">
        <v>7062</v>
      </c>
    </row>
    <row r="3352" spans="1:4" x14ac:dyDescent="0.35">
      <c r="A3352" t="s">
        <v>2438</v>
      </c>
      <c r="B3352" s="8" t="s">
        <v>2439</v>
      </c>
      <c r="C3352" t="s">
        <v>7036</v>
      </c>
      <c r="D3352" s="8" t="s">
        <v>7037</v>
      </c>
    </row>
    <row r="3353" spans="1:4" x14ac:dyDescent="0.35">
      <c r="A3353" t="s">
        <v>2438</v>
      </c>
      <c r="B3353" s="8" t="s">
        <v>2439</v>
      </c>
      <c r="C3353" t="s">
        <v>6249</v>
      </c>
      <c r="D3353" s="8" t="s">
        <v>6250</v>
      </c>
    </row>
    <row r="3354" spans="1:4" x14ac:dyDescent="0.35">
      <c r="A3354" t="s">
        <v>2438</v>
      </c>
      <c r="B3354" s="8" t="s">
        <v>2439</v>
      </c>
      <c r="C3354" t="s">
        <v>7051</v>
      </c>
      <c r="D3354" s="8" t="s">
        <v>7052</v>
      </c>
    </row>
    <row r="3355" spans="1:4" x14ac:dyDescent="0.35">
      <c r="A3355" t="s">
        <v>2442</v>
      </c>
      <c r="B3355" s="8" t="s">
        <v>2443</v>
      </c>
      <c r="C3355" t="s">
        <v>6249</v>
      </c>
      <c r="D3355" s="8" t="s">
        <v>6250</v>
      </c>
    </row>
    <row r="3356" spans="1:4" x14ac:dyDescent="0.35">
      <c r="A3356" t="s">
        <v>2442</v>
      </c>
      <c r="B3356" s="8" t="s">
        <v>2443</v>
      </c>
      <c r="C3356" t="s">
        <v>7057</v>
      </c>
      <c r="D3356" s="8" t="s">
        <v>7058</v>
      </c>
    </row>
    <row r="3357" spans="1:4" x14ac:dyDescent="0.35">
      <c r="A3357" t="s">
        <v>2442</v>
      </c>
      <c r="B3357" s="8" t="s">
        <v>2443</v>
      </c>
      <c r="C3357" t="s">
        <v>7063</v>
      </c>
      <c r="D3357" s="8" t="s">
        <v>7064</v>
      </c>
    </row>
    <row r="3358" spans="1:4" x14ac:dyDescent="0.35">
      <c r="A3358" t="s">
        <v>2444</v>
      </c>
      <c r="B3358" s="8" t="s">
        <v>2445</v>
      </c>
      <c r="C3358" t="s">
        <v>6249</v>
      </c>
      <c r="D3358" s="8" t="s">
        <v>6250</v>
      </c>
    </row>
    <row r="3359" spans="1:4" x14ac:dyDescent="0.35">
      <c r="A3359" t="s">
        <v>2444</v>
      </c>
      <c r="B3359" s="8" t="s">
        <v>2445</v>
      </c>
      <c r="C3359" t="s">
        <v>7049</v>
      </c>
      <c r="D3359" s="8" t="s">
        <v>7050</v>
      </c>
    </row>
    <row r="3360" spans="1:4" x14ac:dyDescent="0.35">
      <c r="A3360" t="s">
        <v>2446</v>
      </c>
      <c r="B3360" s="8" t="s">
        <v>2447</v>
      </c>
      <c r="C3360" t="s">
        <v>6249</v>
      </c>
      <c r="D3360" s="8" t="s">
        <v>6250</v>
      </c>
    </row>
    <row r="3361" spans="1:4" x14ac:dyDescent="0.35">
      <c r="A3361" t="s">
        <v>2446</v>
      </c>
      <c r="B3361" s="8" t="s">
        <v>2447</v>
      </c>
      <c r="C3361" t="s">
        <v>6259</v>
      </c>
      <c r="D3361" s="8" t="s">
        <v>6260</v>
      </c>
    </row>
    <row r="3362" spans="1:4" x14ac:dyDescent="0.35">
      <c r="A3362" t="s">
        <v>2446</v>
      </c>
      <c r="B3362" s="8" t="s">
        <v>2447</v>
      </c>
      <c r="C3362" t="s">
        <v>6263</v>
      </c>
      <c r="D3362" s="8" t="s">
        <v>6264</v>
      </c>
    </row>
    <row r="3363" spans="1:4" x14ac:dyDescent="0.35">
      <c r="A3363" t="s">
        <v>2448</v>
      </c>
      <c r="B3363" s="8" t="s">
        <v>2449</v>
      </c>
      <c r="C3363" t="s">
        <v>6243</v>
      </c>
      <c r="D3363" s="8" t="s">
        <v>6244</v>
      </c>
    </row>
    <row r="3364" spans="1:4" x14ac:dyDescent="0.35">
      <c r="A3364" t="s">
        <v>2448</v>
      </c>
      <c r="B3364" s="8" t="s">
        <v>2449</v>
      </c>
      <c r="C3364" t="s">
        <v>6249</v>
      </c>
      <c r="D3364" s="8" t="s">
        <v>6250</v>
      </c>
    </row>
    <row r="3365" spans="1:4" x14ac:dyDescent="0.35">
      <c r="A3365" t="s">
        <v>2448</v>
      </c>
      <c r="B3365" s="8" t="s">
        <v>2449</v>
      </c>
      <c r="C3365" t="s">
        <v>6251</v>
      </c>
      <c r="D3365" s="8" t="s">
        <v>6252</v>
      </c>
    </row>
    <row r="3366" spans="1:4" x14ac:dyDescent="0.35">
      <c r="A3366" t="s">
        <v>2448</v>
      </c>
      <c r="B3366" s="8" t="s">
        <v>2449</v>
      </c>
      <c r="C3366" t="s">
        <v>6259</v>
      </c>
      <c r="D3366" s="8" t="s">
        <v>6260</v>
      </c>
    </row>
    <row r="3367" spans="1:4" x14ac:dyDescent="0.35">
      <c r="A3367" t="s">
        <v>2448</v>
      </c>
      <c r="B3367" s="8" t="s">
        <v>2449</v>
      </c>
      <c r="C3367" t="s">
        <v>6263</v>
      </c>
      <c r="D3367" s="8" t="s">
        <v>6264</v>
      </c>
    </row>
    <row r="3368" spans="1:4" x14ac:dyDescent="0.35">
      <c r="A3368" t="s">
        <v>2448</v>
      </c>
      <c r="B3368" s="8" t="s">
        <v>2449</v>
      </c>
      <c r="C3368" t="s">
        <v>7055</v>
      </c>
      <c r="D3368" s="8" t="s">
        <v>7056</v>
      </c>
    </row>
    <row r="3369" spans="1:4" x14ac:dyDescent="0.35">
      <c r="A3369" t="s">
        <v>2456</v>
      </c>
      <c r="B3369" s="8" t="s">
        <v>2457</v>
      </c>
      <c r="C3369" t="s">
        <v>7065</v>
      </c>
      <c r="D3369" s="8" t="s">
        <v>7066</v>
      </c>
    </row>
    <row r="3370" spans="1:4" x14ac:dyDescent="0.35">
      <c r="A3370" t="s">
        <v>2456</v>
      </c>
      <c r="B3370" s="8" t="s">
        <v>2457</v>
      </c>
      <c r="C3370" t="s">
        <v>6249</v>
      </c>
      <c r="D3370" s="8" t="s">
        <v>6250</v>
      </c>
    </row>
    <row r="3371" spans="1:4" x14ac:dyDescent="0.35">
      <c r="A3371" t="s">
        <v>2456</v>
      </c>
      <c r="B3371" s="8" t="s">
        <v>2457</v>
      </c>
      <c r="C3371" t="s">
        <v>6251</v>
      </c>
      <c r="D3371" s="8" t="s">
        <v>6252</v>
      </c>
    </row>
    <row r="3372" spans="1:4" x14ac:dyDescent="0.35">
      <c r="A3372" t="s">
        <v>2456</v>
      </c>
      <c r="B3372" s="8" t="s">
        <v>2457</v>
      </c>
      <c r="C3372" t="s">
        <v>6263</v>
      </c>
      <c r="D3372" s="8" t="s">
        <v>6264</v>
      </c>
    </row>
    <row r="3373" spans="1:4" x14ac:dyDescent="0.35">
      <c r="A3373" t="s">
        <v>2458</v>
      </c>
      <c r="B3373" s="8" t="s">
        <v>2459</v>
      </c>
      <c r="C3373" t="s">
        <v>7065</v>
      </c>
      <c r="D3373" s="8" t="s">
        <v>7066</v>
      </c>
    </row>
    <row r="3374" spans="1:4" x14ac:dyDescent="0.35">
      <c r="A3374" t="s">
        <v>2458</v>
      </c>
      <c r="B3374" s="8" t="s">
        <v>2459</v>
      </c>
      <c r="C3374" t="s">
        <v>6249</v>
      </c>
      <c r="D3374" s="8" t="s">
        <v>6250</v>
      </c>
    </row>
    <row r="3375" spans="1:4" x14ac:dyDescent="0.35">
      <c r="A3375" t="s">
        <v>2458</v>
      </c>
      <c r="B3375" s="8" t="s">
        <v>2459</v>
      </c>
      <c r="C3375" t="s">
        <v>6251</v>
      </c>
      <c r="D3375" s="8" t="s">
        <v>6252</v>
      </c>
    </row>
    <row r="3376" spans="1:4" x14ac:dyDescent="0.35">
      <c r="A3376" t="s">
        <v>2458</v>
      </c>
      <c r="B3376" s="8" t="s">
        <v>2459</v>
      </c>
      <c r="C3376" t="s">
        <v>6263</v>
      </c>
      <c r="D3376" s="8" t="s">
        <v>6264</v>
      </c>
    </row>
    <row r="3377" spans="1:4" x14ac:dyDescent="0.35">
      <c r="A3377" t="s">
        <v>2458</v>
      </c>
      <c r="B3377" s="8" t="s">
        <v>2459</v>
      </c>
      <c r="C3377" t="s">
        <v>7055</v>
      </c>
      <c r="D3377" s="8" t="s">
        <v>7056</v>
      </c>
    </row>
    <row r="3378" spans="1:4" x14ac:dyDescent="0.35">
      <c r="A3378" t="s">
        <v>2460</v>
      </c>
      <c r="B3378" s="8" t="s">
        <v>2461</v>
      </c>
      <c r="C3378" t="s">
        <v>6235</v>
      </c>
      <c r="D3378" s="8" t="s">
        <v>6236</v>
      </c>
    </row>
    <row r="3379" spans="1:4" x14ac:dyDescent="0.35">
      <c r="A3379" t="s">
        <v>2460</v>
      </c>
      <c r="B3379" s="8" t="s">
        <v>2461</v>
      </c>
      <c r="C3379" t="s">
        <v>7067</v>
      </c>
      <c r="D3379" s="8" t="s">
        <v>7068</v>
      </c>
    </row>
    <row r="3380" spans="1:4" x14ac:dyDescent="0.35">
      <c r="A3380" t="s">
        <v>2460</v>
      </c>
      <c r="B3380" s="8" t="s">
        <v>2461</v>
      </c>
      <c r="C3380" t="s">
        <v>6249</v>
      </c>
      <c r="D3380" s="8" t="s">
        <v>6250</v>
      </c>
    </row>
    <row r="3381" spans="1:4" x14ac:dyDescent="0.35">
      <c r="A3381" t="s">
        <v>2460</v>
      </c>
      <c r="B3381" s="8" t="s">
        <v>2461</v>
      </c>
      <c r="C3381" t="s">
        <v>6259</v>
      </c>
      <c r="D3381" s="8" t="s">
        <v>6260</v>
      </c>
    </row>
    <row r="3382" spans="1:4" x14ac:dyDescent="0.35">
      <c r="A3382" t="s">
        <v>2462</v>
      </c>
      <c r="B3382" s="8" t="s">
        <v>2463</v>
      </c>
      <c r="C3382" t="s">
        <v>6249</v>
      </c>
      <c r="D3382" s="8" t="s">
        <v>6250</v>
      </c>
    </row>
    <row r="3383" spans="1:4" x14ac:dyDescent="0.35">
      <c r="A3383" t="s">
        <v>2462</v>
      </c>
      <c r="B3383" s="8" t="s">
        <v>2463</v>
      </c>
      <c r="C3383" t="s">
        <v>6251</v>
      </c>
      <c r="D3383" s="8" t="s">
        <v>6252</v>
      </c>
    </row>
    <row r="3384" spans="1:4" x14ac:dyDescent="0.35">
      <c r="A3384" t="s">
        <v>2462</v>
      </c>
      <c r="B3384" s="8" t="s">
        <v>2463</v>
      </c>
      <c r="C3384" t="s">
        <v>6259</v>
      </c>
      <c r="D3384" s="8" t="s">
        <v>6260</v>
      </c>
    </row>
    <row r="3385" spans="1:4" x14ac:dyDescent="0.35">
      <c r="A3385" t="s">
        <v>2462</v>
      </c>
      <c r="B3385" s="8" t="s">
        <v>2463</v>
      </c>
      <c r="C3385" t="s">
        <v>6263</v>
      </c>
      <c r="D3385" s="8" t="s">
        <v>6264</v>
      </c>
    </row>
    <row r="3386" spans="1:4" x14ac:dyDescent="0.35">
      <c r="A3386" t="s">
        <v>2462</v>
      </c>
      <c r="B3386" s="8" t="s">
        <v>2463</v>
      </c>
      <c r="C3386" t="s">
        <v>7055</v>
      </c>
      <c r="D3386" s="8" t="s">
        <v>7056</v>
      </c>
    </row>
    <row r="3387" spans="1:4" x14ac:dyDescent="0.35">
      <c r="A3387" t="s">
        <v>2464</v>
      </c>
      <c r="B3387" s="8" t="s">
        <v>2465</v>
      </c>
      <c r="C3387" t="s">
        <v>6249</v>
      </c>
      <c r="D3387" s="8" t="s">
        <v>6250</v>
      </c>
    </row>
    <row r="3388" spans="1:4" x14ac:dyDescent="0.35">
      <c r="A3388" t="s">
        <v>2464</v>
      </c>
      <c r="B3388" s="8" t="s">
        <v>2465</v>
      </c>
      <c r="C3388" t="s">
        <v>6251</v>
      </c>
      <c r="D3388" s="8" t="s">
        <v>6252</v>
      </c>
    </row>
    <row r="3389" spans="1:4" x14ac:dyDescent="0.35">
      <c r="A3389" t="s">
        <v>2464</v>
      </c>
      <c r="B3389" s="8" t="s">
        <v>2465</v>
      </c>
      <c r="C3389" t="s">
        <v>7063</v>
      </c>
      <c r="D3389" s="8" t="s">
        <v>7064</v>
      </c>
    </row>
    <row r="3390" spans="1:4" x14ac:dyDescent="0.35">
      <c r="A3390" t="s">
        <v>2464</v>
      </c>
      <c r="B3390" s="8" t="s">
        <v>2465</v>
      </c>
      <c r="C3390" t="s">
        <v>6259</v>
      </c>
      <c r="D3390" s="8" t="s">
        <v>6260</v>
      </c>
    </row>
    <row r="3391" spans="1:4" x14ac:dyDescent="0.35">
      <c r="A3391" t="s">
        <v>2464</v>
      </c>
      <c r="B3391" s="8" t="s">
        <v>2465</v>
      </c>
      <c r="C3391" t="s">
        <v>7055</v>
      </c>
      <c r="D3391" s="8" t="s">
        <v>7056</v>
      </c>
    </row>
    <row r="3392" spans="1:4" x14ac:dyDescent="0.35">
      <c r="A3392" t="s">
        <v>2466</v>
      </c>
      <c r="B3392" s="8" t="s">
        <v>2467</v>
      </c>
      <c r="C3392" t="s">
        <v>6249</v>
      </c>
      <c r="D3392" s="8" t="s">
        <v>6250</v>
      </c>
    </row>
    <row r="3393" spans="1:4" x14ac:dyDescent="0.35">
      <c r="A3393" t="s">
        <v>2466</v>
      </c>
      <c r="B3393" s="8" t="s">
        <v>2467</v>
      </c>
      <c r="C3393" t="s">
        <v>7051</v>
      </c>
      <c r="D3393" s="8" t="s">
        <v>7052</v>
      </c>
    </row>
    <row r="3394" spans="1:4" x14ac:dyDescent="0.35">
      <c r="A3394" t="s">
        <v>2468</v>
      </c>
      <c r="B3394" s="8" t="s">
        <v>2469</v>
      </c>
      <c r="C3394" t="s">
        <v>6253</v>
      </c>
      <c r="D3394" s="8" t="s">
        <v>6254</v>
      </c>
    </row>
    <row r="3395" spans="1:4" x14ac:dyDescent="0.35">
      <c r="A3395" t="s">
        <v>2468</v>
      </c>
      <c r="B3395" s="8" t="s">
        <v>2469</v>
      </c>
      <c r="C3395" t="s">
        <v>6255</v>
      </c>
      <c r="D3395" s="8" t="s">
        <v>6256</v>
      </c>
    </row>
    <row r="3396" spans="1:4" x14ac:dyDescent="0.35">
      <c r="A3396" t="s">
        <v>2468</v>
      </c>
      <c r="B3396" s="8" t="s">
        <v>2469</v>
      </c>
      <c r="C3396" t="s">
        <v>7069</v>
      </c>
      <c r="D3396" s="8" t="s">
        <v>7070</v>
      </c>
    </row>
    <row r="3397" spans="1:4" x14ac:dyDescent="0.35">
      <c r="A3397" t="s">
        <v>2470</v>
      </c>
      <c r="B3397" s="8" t="s">
        <v>2471</v>
      </c>
      <c r="C3397" t="s">
        <v>6243</v>
      </c>
      <c r="D3397" s="8" t="s">
        <v>6244</v>
      </c>
    </row>
    <row r="3398" spans="1:4" x14ac:dyDescent="0.35">
      <c r="A3398" t="s">
        <v>2470</v>
      </c>
      <c r="B3398" s="8" t="s">
        <v>2471</v>
      </c>
      <c r="C3398" t="s">
        <v>6144</v>
      </c>
      <c r="D3398" s="8" t="s">
        <v>6145</v>
      </c>
    </row>
    <row r="3399" spans="1:4" x14ac:dyDescent="0.35">
      <c r="A3399" t="s">
        <v>2470</v>
      </c>
      <c r="B3399" s="8" t="s">
        <v>2471</v>
      </c>
      <c r="C3399" t="s">
        <v>6253</v>
      </c>
      <c r="D3399" s="8" t="s">
        <v>6254</v>
      </c>
    </row>
    <row r="3400" spans="1:4" x14ac:dyDescent="0.35">
      <c r="A3400" t="s">
        <v>2472</v>
      </c>
      <c r="B3400" s="8" t="s">
        <v>2473</v>
      </c>
      <c r="C3400" t="s">
        <v>6253</v>
      </c>
      <c r="D3400" s="8" t="s">
        <v>6254</v>
      </c>
    </row>
    <row r="3401" spans="1:4" x14ac:dyDescent="0.35">
      <c r="A3401" t="s">
        <v>2472</v>
      </c>
      <c r="B3401" s="8" t="s">
        <v>2473</v>
      </c>
      <c r="C3401" t="s">
        <v>6255</v>
      </c>
      <c r="D3401" s="8" t="s">
        <v>6256</v>
      </c>
    </row>
    <row r="3402" spans="1:4" x14ac:dyDescent="0.35">
      <c r="A3402" t="s">
        <v>2472</v>
      </c>
      <c r="B3402" s="8" t="s">
        <v>2473</v>
      </c>
      <c r="C3402" t="s">
        <v>7069</v>
      </c>
      <c r="D3402" s="8" t="s">
        <v>7070</v>
      </c>
    </row>
    <row r="3403" spans="1:4" x14ac:dyDescent="0.35">
      <c r="A3403" t="s">
        <v>2472</v>
      </c>
      <c r="B3403" s="8" t="s">
        <v>2473</v>
      </c>
      <c r="C3403" t="s">
        <v>6257</v>
      </c>
      <c r="D3403" s="8" t="s">
        <v>6258</v>
      </c>
    </row>
    <row r="3404" spans="1:4" x14ac:dyDescent="0.35">
      <c r="A3404" t="s">
        <v>2474</v>
      </c>
      <c r="B3404" s="8" t="s">
        <v>2475</v>
      </c>
      <c r="C3404" t="s">
        <v>6163</v>
      </c>
      <c r="D3404" s="8" t="s">
        <v>6164</v>
      </c>
    </row>
    <row r="3405" spans="1:4" x14ac:dyDescent="0.35">
      <c r="A3405" t="s">
        <v>2476</v>
      </c>
      <c r="B3405" s="8" t="s">
        <v>2477</v>
      </c>
      <c r="C3405" t="s">
        <v>6253</v>
      </c>
      <c r="D3405" s="8" t="s">
        <v>6254</v>
      </c>
    </row>
    <row r="3406" spans="1:4" x14ac:dyDescent="0.35">
      <c r="A3406" t="s">
        <v>2476</v>
      </c>
      <c r="B3406" s="8" t="s">
        <v>2477</v>
      </c>
      <c r="C3406" t="s">
        <v>7069</v>
      </c>
      <c r="D3406" s="8" t="s">
        <v>7070</v>
      </c>
    </row>
    <row r="3407" spans="1:4" x14ac:dyDescent="0.35">
      <c r="A3407" t="s">
        <v>2478</v>
      </c>
      <c r="B3407" s="8" t="s">
        <v>2479</v>
      </c>
      <c r="C3407" t="s">
        <v>6255</v>
      </c>
      <c r="D3407" s="8" t="s">
        <v>6256</v>
      </c>
    </row>
    <row r="3408" spans="1:4" x14ac:dyDescent="0.35">
      <c r="A3408" t="s">
        <v>2478</v>
      </c>
      <c r="B3408" s="8" t="s">
        <v>2479</v>
      </c>
      <c r="C3408" t="s">
        <v>6257</v>
      </c>
      <c r="D3408" s="8" t="s">
        <v>6258</v>
      </c>
    </row>
    <row r="3409" spans="1:4" x14ac:dyDescent="0.35">
      <c r="A3409" t="s">
        <v>2480</v>
      </c>
      <c r="B3409" s="8" t="s">
        <v>2481</v>
      </c>
      <c r="C3409" t="s">
        <v>6253</v>
      </c>
      <c r="D3409" s="8" t="s">
        <v>6254</v>
      </c>
    </row>
    <row r="3410" spans="1:4" x14ac:dyDescent="0.35">
      <c r="A3410" t="s">
        <v>2480</v>
      </c>
      <c r="B3410" s="8" t="s">
        <v>2481</v>
      </c>
      <c r="C3410" t="s">
        <v>6255</v>
      </c>
      <c r="D3410" s="8" t="s">
        <v>6256</v>
      </c>
    </row>
    <row r="3411" spans="1:4" x14ac:dyDescent="0.35">
      <c r="A3411" t="s">
        <v>2482</v>
      </c>
      <c r="B3411" s="8" t="s">
        <v>2483</v>
      </c>
      <c r="C3411" t="s">
        <v>7065</v>
      </c>
      <c r="D3411" s="8" t="s">
        <v>7066</v>
      </c>
    </row>
    <row r="3412" spans="1:4" x14ac:dyDescent="0.35">
      <c r="A3412" t="s">
        <v>2482</v>
      </c>
      <c r="B3412" s="8" t="s">
        <v>2483</v>
      </c>
      <c r="C3412" t="s">
        <v>6243</v>
      </c>
      <c r="D3412" s="8" t="s">
        <v>6244</v>
      </c>
    </row>
    <row r="3413" spans="1:4" x14ac:dyDescent="0.35">
      <c r="A3413" t="s">
        <v>2482</v>
      </c>
      <c r="B3413" s="8" t="s">
        <v>2483</v>
      </c>
      <c r="C3413" t="s">
        <v>6251</v>
      </c>
      <c r="D3413" s="8" t="s">
        <v>6252</v>
      </c>
    </row>
    <row r="3414" spans="1:4" x14ac:dyDescent="0.35">
      <c r="A3414" t="s">
        <v>2484</v>
      </c>
      <c r="B3414" s="8" t="s">
        <v>2485</v>
      </c>
      <c r="C3414" t="s">
        <v>7065</v>
      </c>
      <c r="D3414" s="8" t="s">
        <v>7066</v>
      </c>
    </row>
    <row r="3415" spans="1:4" x14ac:dyDescent="0.35">
      <c r="A3415" t="s">
        <v>2484</v>
      </c>
      <c r="B3415" s="8" t="s">
        <v>2485</v>
      </c>
      <c r="C3415" t="s">
        <v>6243</v>
      </c>
      <c r="D3415" s="8" t="s">
        <v>6244</v>
      </c>
    </row>
    <row r="3416" spans="1:4" x14ac:dyDescent="0.35">
      <c r="A3416" t="s">
        <v>2484</v>
      </c>
      <c r="B3416" s="8" t="s">
        <v>2485</v>
      </c>
      <c r="C3416" t="s">
        <v>6251</v>
      </c>
      <c r="D3416" s="8" t="s">
        <v>6252</v>
      </c>
    </row>
    <row r="3417" spans="1:4" x14ac:dyDescent="0.35">
      <c r="A3417" t="s">
        <v>2486</v>
      </c>
      <c r="B3417" s="8" t="s">
        <v>2487</v>
      </c>
      <c r="C3417" t="s">
        <v>7065</v>
      </c>
      <c r="D3417" s="8" t="s">
        <v>7066</v>
      </c>
    </row>
    <row r="3418" spans="1:4" x14ac:dyDescent="0.35">
      <c r="A3418" t="s">
        <v>2486</v>
      </c>
      <c r="B3418" s="8" t="s">
        <v>2487</v>
      </c>
      <c r="C3418" t="s">
        <v>6243</v>
      </c>
      <c r="D3418" s="8" t="s">
        <v>6244</v>
      </c>
    </row>
    <row r="3419" spans="1:4" x14ac:dyDescent="0.35">
      <c r="A3419" t="s">
        <v>2486</v>
      </c>
      <c r="B3419" s="8" t="s">
        <v>2487</v>
      </c>
      <c r="C3419" t="s">
        <v>6251</v>
      </c>
      <c r="D3419" s="8" t="s">
        <v>6252</v>
      </c>
    </row>
    <row r="3420" spans="1:4" x14ac:dyDescent="0.35">
      <c r="A3420" t="s">
        <v>2488</v>
      </c>
      <c r="B3420" s="8" t="s">
        <v>2489</v>
      </c>
      <c r="C3420" t="s">
        <v>7065</v>
      </c>
      <c r="D3420" s="8" t="s">
        <v>7066</v>
      </c>
    </row>
    <row r="3421" spans="1:4" x14ac:dyDescent="0.35">
      <c r="A3421" t="s">
        <v>2488</v>
      </c>
      <c r="B3421" s="8" t="s">
        <v>2489</v>
      </c>
      <c r="C3421" t="s">
        <v>6243</v>
      </c>
      <c r="D3421" s="8" t="s">
        <v>6244</v>
      </c>
    </row>
    <row r="3422" spans="1:4" x14ac:dyDescent="0.35">
      <c r="A3422" t="s">
        <v>2488</v>
      </c>
      <c r="B3422" s="8" t="s">
        <v>2489</v>
      </c>
      <c r="C3422" t="s">
        <v>6249</v>
      </c>
      <c r="D3422" s="8" t="s">
        <v>6250</v>
      </c>
    </row>
    <row r="3423" spans="1:4" x14ac:dyDescent="0.35">
      <c r="A3423" t="s">
        <v>2488</v>
      </c>
      <c r="B3423" s="8" t="s">
        <v>2489</v>
      </c>
      <c r="C3423" t="s">
        <v>6483</v>
      </c>
      <c r="D3423" s="8" t="s">
        <v>6484</v>
      </c>
    </row>
    <row r="3424" spans="1:4" x14ac:dyDescent="0.35">
      <c r="A3424" t="s">
        <v>2488</v>
      </c>
      <c r="B3424" s="8" t="s">
        <v>2489</v>
      </c>
      <c r="C3424" t="s">
        <v>6251</v>
      </c>
      <c r="D3424" s="8" t="s">
        <v>6252</v>
      </c>
    </row>
    <row r="3425" spans="1:4" x14ac:dyDescent="0.35">
      <c r="A3425" t="s">
        <v>2488</v>
      </c>
      <c r="B3425" s="8" t="s">
        <v>2489</v>
      </c>
      <c r="C3425" t="s">
        <v>6871</v>
      </c>
      <c r="D3425" s="8" t="s">
        <v>6872</v>
      </c>
    </row>
    <row r="3426" spans="1:4" x14ac:dyDescent="0.35">
      <c r="A3426" t="s">
        <v>2488</v>
      </c>
      <c r="B3426" s="8" t="s">
        <v>2489</v>
      </c>
      <c r="C3426" t="s">
        <v>6873</v>
      </c>
      <c r="D3426" s="8" t="s">
        <v>6874</v>
      </c>
    </row>
    <row r="3427" spans="1:4" x14ac:dyDescent="0.35">
      <c r="A3427" t="s">
        <v>2490</v>
      </c>
      <c r="B3427" s="8" t="s">
        <v>2491</v>
      </c>
      <c r="C3427" t="s">
        <v>6249</v>
      </c>
      <c r="D3427" s="8" t="s">
        <v>6250</v>
      </c>
    </row>
    <row r="3428" spans="1:4" x14ac:dyDescent="0.35">
      <c r="A3428" t="s">
        <v>2490</v>
      </c>
      <c r="B3428" s="8" t="s">
        <v>2491</v>
      </c>
      <c r="C3428" t="s">
        <v>7057</v>
      </c>
      <c r="D3428" s="8" t="s">
        <v>7058</v>
      </c>
    </row>
    <row r="3429" spans="1:4" x14ac:dyDescent="0.35">
      <c r="A3429" t="s">
        <v>2490</v>
      </c>
      <c r="B3429" s="8" t="s">
        <v>2491</v>
      </c>
      <c r="C3429" t="s">
        <v>7063</v>
      </c>
      <c r="D3429" s="8" t="s">
        <v>7064</v>
      </c>
    </row>
    <row r="3430" spans="1:4" x14ac:dyDescent="0.35">
      <c r="A3430" t="s">
        <v>7071</v>
      </c>
      <c r="B3430" s="8" t="s">
        <v>2492</v>
      </c>
      <c r="C3430" t="s">
        <v>6249</v>
      </c>
      <c r="D3430" s="8" t="s">
        <v>6250</v>
      </c>
    </row>
    <row r="3431" spans="1:4" x14ac:dyDescent="0.35">
      <c r="A3431" t="s">
        <v>7071</v>
      </c>
      <c r="B3431" s="8" t="s">
        <v>2492</v>
      </c>
      <c r="C3431" t="s">
        <v>6251</v>
      </c>
      <c r="D3431" s="8" t="s">
        <v>6252</v>
      </c>
    </row>
    <row r="3432" spans="1:4" x14ac:dyDescent="0.35">
      <c r="A3432" t="s">
        <v>7071</v>
      </c>
      <c r="B3432" s="8" t="s">
        <v>2492</v>
      </c>
      <c r="C3432" t="s">
        <v>7057</v>
      </c>
      <c r="D3432" s="8" t="s">
        <v>7058</v>
      </c>
    </row>
    <row r="3433" spans="1:4" x14ac:dyDescent="0.35">
      <c r="A3433" t="s">
        <v>7071</v>
      </c>
      <c r="B3433" s="8" t="s">
        <v>2492</v>
      </c>
      <c r="C3433" t="s">
        <v>7063</v>
      </c>
      <c r="D3433" s="8" t="s">
        <v>7064</v>
      </c>
    </row>
    <row r="3434" spans="1:4" x14ac:dyDescent="0.35">
      <c r="A3434" t="s">
        <v>7072</v>
      </c>
      <c r="B3434" s="8" t="s">
        <v>2441</v>
      </c>
      <c r="C3434" t="s">
        <v>6839</v>
      </c>
      <c r="D3434" s="8" t="s">
        <v>6840</v>
      </c>
    </row>
    <row r="3435" spans="1:4" x14ac:dyDescent="0.35">
      <c r="A3435" t="s">
        <v>7072</v>
      </c>
      <c r="B3435" s="8" t="s">
        <v>2441</v>
      </c>
      <c r="C3435" t="s">
        <v>7016</v>
      </c>
      <c r="D3435" s="8" t="s">
        <v>7017</v>
      </c>
    </row>
    <row r="3436" spans="1:4" x14ac:dyDescent="0.35">
      <c r="A3436" t="s">
        <v>7072</v>
      </c>
      <c r="B3436" s="8" t="s">
        <v>2441</v>
      </c>
      <c r="C3436" t="s">
        <v>6249</v>
      </c>
      <c r="D3436" s="8" t="s">
        <v>6250</v>
      </c>
    </row>
    <row r="3437" spans="1:4" x14ac:dyDescent="0.35">
      <c r="A3437" t="s">
        <v>7072</v>
      </c>
      <c r="B3437" s="8" t="s">
        <v>2441</v>
      </c>
      <c r="C3437" t="s">
        <v>6259</v>
      </c>
      <c r="D3437" s="8" t="s">
        <v>6260</v>
      </c>
    </row>
    <row r="3438" spans="1:4" x14ac:dyDescent="0.35">
      <c r="A3438" t="s">
        <v>7072</v>
      </c>
      <c r="B3438" s="8" t="s">
        <v>2441</v>
      </c>
      <c r="C3438" t="s">
        <v>6263</v>
      </c>
      <c r="D3438" s="8" t="s">
        <v>6264</v>
      </c>
    </row>
    <row r="3439" spans="1:4" x14ac:dyDescent="0.35">
      <c r="A3439" t="s">
        <v>7073</v>
      </c>
      <c r="B3439" s="8" t="s">
        <v>2451</v>
      </c>
      <c r="C3439" t="s">
        <v>6418</v>
      </c>
      <c r="D3439" s="8" t="s">
        <v>6419</v>
      </c>
    </row>
    <row r="3440" spans="1:4" x14ac:dyDescent="0.35">
      <c r="A3440" t="s">
        <v>7073</v>
      </c>
      <c r="B3440" s="8" t="s">
        <v>2451</v>
      </c>
      <c r="C3440" t="s">
        <v>6410</v>
      </c>
      <c r="D3440" s="8" t="s">
        <v>6411</v>
      </c>
    </row>
    <row r="3441" spans="1:4" x14ac:dyDescent="0.35">
      <c r="A3441" t="s">
        <v>7073</v>
      </c>
      <c r="B3441" s="8" t="s">
        <v>2451</v>
      </c>
      <c r="C3441" t="s">
        <v>6249</v>
      </c>
      <c r="D3441" s="8" t="s">
        <v>6250</v>
      </c>
    </row>
    <row r="3442" spans="1:4" x14ac:dyDescent="0.35">
      <c r="A3442" t="s">
        <v>7073</v>
      </c>
      <c r="B3442" s="8" t="s">
        <v>2451</v>
      </c>
      <c r="C3442" t="s">
        <v>6259</v>
      </c>
      <c r="D3442" s="8" t="s">
        <v>6260</v>
      </c>
    </row>
    <row r="3443" spans="1:4" x14ac:dyDescent="0.35">
      <c r="A3443" t="s">
        <v>7073</v>
      </c>
      <c r="B3443" s="8" t="s">
        <v>2451</v>
      </c>
      <c r="C3443" t="s">
        <v>7055</v>
      </c>
      <c r="D3443" s="8" t="s">
        <v>7056</v>
      </c>
    </row>
    <row r="3444" spans="1:4" x14ac:dyDescent="0.35">
      <c r="A3444" t="s">
        <v>7074</v>
      </c>
      <c r="B3444" s="8" t="s">
        <v>2493</v>
      </c>
      <c r="C3444" t="s">
        <v>6243</v>
      </c>
      <c r="D3444" s="8" t="s">
        <v>6244</v>
      </c>
    </row>
    <row r="3445" spans="1:4" x14ac:dyDescent="0.35">
      <c r="A3445" t="s">
        <v>7074</v>
      </c>
      <c r="B3445" s="8" t="s">
        <v>2493</v>
      </c>
      <c r="C3445" t="s">
        <v>6249</v>
      </c>
      <c r="D3445" s="8" t="s">
        <v>6250</v>
      </c>
    </row>
    <row r="3446" spans="1:4" x14ac:dyDescent="0.35">
      <c r="A3446" t="s">
        <v>7074</v>
      </c>
      <c r="B3446" s="8" t="s">
        <v>2493</v>
      </c>
      <c r="C3446" t="s">
        <v>6251</v>
      </c>
      <c r="D3446" s="8" t="s">
        <v>6252</v>
      </c>
    </row>
    <row r="3447" spans="1:4" x14ac:dyDescent="0.35">
      <c r="A3447" t="s">
        <v>7074</v>
      </c>
      <c r="B3447" s="8" t="s">
        <v>2493</v>
      </c>
      <c r="C3447" t="s">
        <v>7063</v>
      </c>
      <c r="D3447" s="8" t="s">
        <v>7064</v>
      </c>
    </row>
    <row r="3448" spans="1:4" x14ac:dyDescent="0.35">
      <c r="A3448" t="s">
        <v>7074</v>
      </c>
      <c r="B3448" s="8" t="s">
        <v>2493</v>
      </c>
      <c r="C3448" t="s">
        <v>6871</v>
      </c>
      <c r="D3448" s="8" t="s">
        <v>6872</v>
      </c>
    </row>
    <row r="3449" spans="1:4" x14ac:dyDescent="0.35">
      <c r="A3449" t="s">
        <v>7074</v>
      </c>
      <c r="B3449" s="8" t="s">
        <v>2493</v>
      </c>
      <c r="C3449" t="s">
        <v>6873</v>
      </c>
      <c r="D3449" s="8" t="s">
        <v>6874</v>
      </c>
    </row>
    <row r="3450" spans="1:4" x14ac:dyDescent="0.35">
      <c r="A3450" t="s">
        <v>7075</v>
      </c>
      <c r="B3450" s="8" t="s">
        <v>2453</v>
      </c>
      <c r="C3450" t="s">
        <v>6900</v>
      </c>
      <c r="D3450" s="8" t="s">
        <v>6901</v>
      </c>
    </row>
    <row r="3451" spans="1:4" x14ac:dyDescent="0.35">
      <c r="A3451" t="s">
        <v>7075</v>
      </c>
      <c r="B3451" s="8" t="s">
        <v>2453</v>
      </c>
      <c r="C3451" t="s">
        <v>7067</v>
      </c>
      <c r="D3451" s="8" t="s">
        <v>7068</v>
      </c>
    </row>
    <row r="3452" spans="1:4" x14ac:dyDescent="0.35">
      <c r="A3452" t="s">
        <v>7075</v>
      </c>
      <c r="B3452" s="8" t="s">
        <v>2453</v>
      </c>
      <c r="C3452" t="s">
        <v>6249</v>
      </c>
      <c r="D3452" s="8" t="s">
        <v>6250</v>
      </c>
    </row>
    <row r="3453" spans="1:4" x14ac:dyDescent="0.35">
      <c r="A3453" t="s">
        <v>7075</v>
      </c>
      <c r="B3453" s="8" t="s">
        <v>2453</v>
      </c>
      <c r="C3453" t="s">
        <v>6259</v>
      </c>
      <c r="D3453" s="8" t="s">
        <v>6260</v>
      </c>
    </row>
    <row r="3454" spans="1:4" x14ac:dyDescent="0.35">
      <c r="A3454" t="s">
        <v>7075</v>
      </c>
      <c r="B3454" s="8" t="s">
        <v>2453</v>
      </c>
      <c r="C3454" t="s">
        <v>7055</v>
      </c>
      <c r="D3454" s="8" t="s">
        <v>7056</v>
      </c>
    </row>
    <row r="3455" spans="1:4" x14ac:dyDescent="0.35">
      <c r="A3455" t="s">
        <v>7076</v>
      </c>
      <c r="B3455" s="8" t="s">
        <v>2433</v>
      </c>
      <c r="C3455" t="s">
        <v>6839</v>
      </c>
      <c r="D3455" s="8" t="s">
        <v>6840</v>
      </c>
    </row>
    <row r="3456" spans="1:4" x14ac:dyDescent="0.35">
      <c r="A3456" t="s">
        <v>7076</v>
      </c>
      <c r="B3456" s="8" t="s">
        <v>2433</v>
      </c>
      <c r="C3456" t="s">
        <v>7016</v>
      </c>
      <c r="D3456" s="8" t="s">
        <v>7017</v>
      </c>
    </row>
    <row r="3457" spans="1:4" x14ac:dyDescent="0.35">
      <c r="A3457" t="s">
        <v>7076</v>
      </c>
      <c r="B3457" s="8" t="s">
        <v>2433</v>
      </c>
      <c r="C3457" t="s">
        <v>6249</v>
      </c>
      <c r="D3457" s="8" t="s">
        <v>6250</v>
      </c>
    </row>
    <row r="3458" spans="1:4" x14ac:dyDescent="0.35">
      <c r="A3458" t="s">
        <v>7077</v>
      </c>
      <c r="B3458" s="8" t="s">
        <v>2494</v>
      </c>
      <c r="C3458" t="s">
        <v>6662</v>
      </c>
      <c r="D3458" s="8" t="s">
        <v>6663</v>
      </c>
    </row>
    <row r="3459" spans="1:4" x14ac:dyDescent="0.35">
      <c r="A3459" t="s">
        <v>7077</v>
      </c>
      <c r="B3459" s="8" t="s">
        <v>2494</v>
      </c>
      <c r="C3459" t="s">
        <v>6927</v>
      </c>
      <c r="D3459" s="8" t="s">
        <v>6928</v>
      </c>
    </row>
    <row r="3460" spans="1:4" x14ac:dyDescent="0.35">
      <c r="A3460" t="s">
        <v>7077</v>
      </c>
      <c r="B3460" s="8" t="s">
        <v>2494</v>
      </c>
      <c r="C3460" t="s">
        <v>6598</v>
      </c>
      <c r="D3460" s="8" t="s">
        <v>6599</v>
      </c>
    </row>
    <row r="3461" spans="1:4" x14ac:dyDescent="0.35">
      <c r="A3461" t="s">
        <v>7077</v>
      </c>
      <c r="B3461" s="8" t="s">
        <v>2494</v>
      </c>
      <c r="C3461" t="s">
        <v>6249</v>
      </c>
      <c r="D3461" s="8" t="s">
        <v>6250</v>
      </c>
    </row>
    <row r="3462" spans="1:4" x14ac:dyDescent="0.35">
      <c r="A3462" t="s">
        <v>7077</v>
      </c>
      <c r="B3462" s="8" t="s">
        <v>2494</v>
      </c>
      <c r="C3462" t="s">
        <v>6251</v>
      </c>
      <c r="D3462" s="8" t="s">
        <v>6252</v>
      </c>
    </row>
    <row r="3463" spans="1:4" x14ac:dyDescent="0.35">
      <c r="A3463" t="s">
        <v>7077</v>
      </c>
      <c r="B3463" s="8" t="s">
        <v>2494</v>
      </c>
      <c r="C3463" t="s">
        <v>6259</v>
      </c>
      <c r="D3463" s="8" t="s">
        <v>6260</v>
      </c>
    </row>
    <row r="3464" spans="1:4" x14ac:dyDescent="0.35">
      <c r="A3464" t="s">
        <v>7077</v>
      </c>
      <c r="B3464" s="8" t="s">
        <v>2494</v>
      </c>
      <c r="C3464" t="s">
        <v>6871</v>
      </c>
      <c r="D3464" s="8" t="s">
        <v>6872</v>
      </c>
    </row>
    <row r="3465" spans="1:4" x14ac:dyDescent="0.35">
      <c r="A3465" t="s">
        <v>7077</v>
      </c>
      <c r="B3465" s="8" t="s">
        <v>2494</v>
      </c>
      <c r="C3465" t="s">
        <v>6873</v>
      </c>
      <c r="D3465" s="8" t="s">
        <v>6874</v>
      </c>
    </row>
    <row r="3466" spans="1:4" x14ac:dyDescent="0.35">
      <c r="A3466" t="s">
        <v>7078</v>
      </c>
      <c r="B3466" s="8" t="s">
        <v>2455</v>
      </c>
      <c r="C3466" t="s">
        <v>6249</v>
      </c>
      <c r="D3466" s="8" t="s">
        <v>6250</v>
      </c>
    </row>
    <row r="3467" spans="1:4" x14ac:dyDescent="0.35">
      <c r="A3467" t="s">
        <v>7078</v>
      </c>
      <c r="B3467" s="8" t="s">
        <v>2455</v>
      </c>
      <c r="C3467" t="s">
        <v>6259</v>
      </c>
      <c r="D3467" s="8" t="s">
        <v>6260</v>
      </c>
    </row>
    <row r="3468" spans="1:4" x14ac:dyDescent="0.35">
      <c r="A3468" t="s">
        <v>7079</v>
      </c>
      <c r="B3468" s="8" t="s">
        <v>2495</v>
      </c>
      <c r="C3468" t="s">
        <v>6249</v>
      </c>
      <c r="D3468" s="8" t="s">
        <v>6250</v>
      </c>
    </row>
    <row r="3469" spans="1:4" x14ac:dyDescent="0.35">
      <c r="A3469" t="s">
        <v>7079</v>
      </c>
      <c r="B3469" s="8" t="s">
        <v>2495</v>
      </c>
      <c r="C3469" t="s">
        <v>6251</v>
      </c>
      <c r="D3469" s="8" t="s">
        <v>6252</v>
      </c>
    </row>
    <row r="3470" spans="1:4" x14ac:dyDescent="0.35">
      <c r="A3470" t="s">
        <v>7079</v>
      </c>
      <c r="B3470" s="8" t="s">
        <v>2495</v>
      </c>
      <c r="C3470" t="s">
        <v>7057</v>
      </c>
      <c r="D3470" s="8" t="s">
        <v>7058</v>
      </c>
    </row>
    <row r="3471" spans="1:4" ht="29" x14ac:dyDescent="0.35">
      <c r="A3471" t="s">
        <v>2496</v>
      </c>
      <c r="B3471" s="8" t="s">
        <v>2497</v>
      </c>
      <c r="C3471" t="s">
        <v>6163</v>
      </c>
      <c r="D3471" s="8" t="s">
        <v>6164</v>
      </c>
    </row>
    <row r="3472" spans="1:4" x14ac:dyDescent="0.35">
      <c r="A3472" t="s">
        <v>2498</v>
      </c>
      <c r="B3472" s="8" t="s">
        <v>2499</v>
      </c>
      <c r="C3472" t="s">
        <v>6902</v>
      </c>
      <c r="D3472" s="8" t="s">
        <v>6903</v>
      </c>
    </row>
    <row r="3473" spans="1:4" x14ac:dyDescent="0.35">
      <c r="A3473" t="s">
        <v>2498</v>
      </c>
      <c r="B3473" s="8" t="s">
        <v>2499</v>
      </c>
      <c r="C3473" t="s">
        <v>6778</v>
      </c>
      <c r="D3473" s="8" t="s">
        <v>6779</v>
      </c>
    </row>
    <row r="3474" spans="1:4" x14ac:dyDescent="0.35">
      <c r="A3474" t="s">
        <v>2498</v>
      </c>
      <c r="B3474" s="8" t="s">
        <v>2499</v>
      </c>
      <c r="C3474" t="s">
        <v>6780</v>
      </c>
      <c r="D3474" s="8" t="s">
        <v>6781</v>
      </c>
    </row>
    <row r="3475" spans="1:4" x14ac:dyDescent="0.35">
      <c r="A3475" t="s">
        <v>2500</v>
      </c>
      <c r="B3475" s="8" t="s">
        <v>2501</v>
      </c>
      <c r="C3475" t="s">
        <v>6902</v>
      </c>
      <c r="D3475" s="8" t="s">
        <v>6903</v>
      </c>
    </row>
    <row r="3476" spans="1:4" x14ac:dyDescent="0.35">
      <c r="A3476" t="s">
        <v>2500</v>
      </c>
      <c r="B3476" s="8" t="s">
        <v>2501</v>
      </c>
      <c r="C3476" t="s">
        <v>6780</v>
      </c>
      <c r="D3476" s="8" t="s">
        <v>6781</v>
      </c>
    </row>
    <row r="3477" spans="1:4" x14ac:dyDescent="0.35">
      <c r="A3477" t="s">
        <v>2500</v>
      </c>
      <c r="B3477" s="8" t="s">
        <v>2501</v>
      </c>
      <c r="C3477" t="s">
        <v>7080</v>
      </c>
      <c r="D3477" s="8" t="s">
        <v>7081</v>
      </c>
    </row>
    <row r="3478" spans="1:4" x14ac:dyDescent="0.35">
      <c r="A3478" t="s">
        <v>2502</v>
      </c>
      <c r="B3478" s="8" t="s">
        <v>2503</v>
      </c>
      <c r="C3478" t="s">
        <v>7082</v>
      </c>
      <c r="D3478" s="8" t="s">
        <v>7083</v>
      </c>
    </row>
    <row r="3479" spans="1:4" x14ac:dyDescent="0.35">
      <c r="A3479" t="s">
        <v>2502</v>
      </c>
      <c r="B3479" s="8" t="s">
        <v>2503</v>
      </c>
      <c r="C3479" t="s">
        <v>6216</v>
      </c>
      <c r="D3479" s="8" t="s">
        <v>6217</v>
      </c>
    </row>
    <row r="3480" spans="1:4" x14ac:dyDescent="0.35">
      <c r="A3480" t="s">
        <v>2502</v>
      </c>
      <c r="B3480" s="8" t="s">
        <v>2503</v>
      </c>
      <c r="C3480" t="s">
        <v>7084</v>
      </c>
      <c r="D3480" s="8" t="s">
        <v>7085</v>
      </c>
    </row>
    <row r="3481" spans="1:4" x14ac:dyDescent="0.35">
      <c r="A3481" t="s">
        <v>2502</v>
      </c>
      <c r="B3481" s="8" t="s">
        <v>2503</v>
      </c>
      <c r="C3481" t="s">
        <v>7086</v>
      </c>
      <c r="D3481" s="8" t="s">
        <v>7087</v>
      </c>
    </row>
    <row r="3482" spans="1:4" x14ac:dyDescent="0.35">
      <c r="A3482" t="s">
        <v>2502</v>
      </c>
      <c r="B3482" s="8" t="s">
        <v>2503</v>
      </c>
      <c r="C3482" t="s">
        <v>7088</v>
      </c>
      <c r="D3482" s="8" t="s">
        <v>7089</v>
      </c>
    </row>
    <row r="3483" spans="1:4" x14ac:dyDescent="0.35">
      <c r="A3483" t="s">
        <v>2502</v>
      </c>
      <c r="B3483" s="8" t="s">
        <v>2503</v>
      </c>
      <c r="C3483" t="s">
        <v>6902</v>
      </c>
      <c r="D3483" s="8" t="s">
        <v>6903</v>
      </c>
    </row>
    <row r="3484" spans="1:4" x14ac:dyDescent="0.35">
      <c r="A3484" t="s">
        <v>2502</v>
      </c>
      <c r="B3484" s="8" t="s">
        <v>2503</v>
      </c>
      <c r="C3484" t="s">
        <v>6243</v>
      </c>
      <c r="D3484" s="8" t="s">
        <v>6244</v>
      </c>
    </row>
    <row r="3485" spans="1:4" x14ac:dyDescent="0.35">
      <c r="A3485" t="s">
        <v>7090</v>
      </c>
      <c r="B3485" s="8" t="s">
        <v>2504</v>
      </c>
      <c r="C3485" t="s">
        <v>6731</v>
      </c>
      <c r="D3485" s="8" t="s">
        <v>6732</v>
      </c>
    </row>
    <row r="3486" spans="1:4" x14ac:dyDescent="0.35">
      <c r="A3486" t="s">
        <v>7090</v>
      </c>
      <c r="B3486" s="8" t="s">
        <v>2504</v>
      </c>
      <c r="C3486" t="s">
        <v>6243</v>
      </c>
      <c r="D3486" s="8" t="s">
        <v>6244</v>
      </c>
    </row>
    <row r="3487" spans="1:4" x14ac:dyDescent="0.35">
      <c r="A3487" t="s">
        <v>7091</v>
      </c>
      <c r="B3487" s="8" t="s">
        <v>2505</v>
      </c>
      <c r="C3487" t="s">
        <v>7086</v>
      </c>
      <c r="D3487" s="8" t="s">
        <v>7087</v>
      </c>
    </row>
    <row r="3488" spans="1:4" x14ac:dyDescent="0.35">
      <c r="A3488" t="s">
        <v>7091</v>
      </c>
      <c r="B3488" s="8" t="s">
        <v>2505</v>
      </c>
      <c r="C3488" t="s">
        <v>6284</v>
      </c>
      <c r="D3488" s="8" t="s">
        <v>6285</v>
      </c>
    </row>
    <row r="3489" spans="1:4" x14ac:dyDescent="0.35">
      <c r="A3489" t="s">
        <v>7091</v>
      </c>
      <c r="B3489" s="8" t="s">
        <v>2505</v>
      </c>
      <c r="C3489" t="s">
        <v>6681</v>
      </c>
      <c r="D3489" s="8" t="s">
        <v>6682</v>
      </c>
    </row>
    <row r="3490" spans="1:4" x14ac:dyDescent="0.35">
      <c r="A3490" t="s">
        <v>7092</v>
      </c>
      <c r="B3490" s="8" t="s">
        <v>2506</v>
      </c>
      <c r="C3490" t="s">
        <v>6243</v>
      </c>
      <c r="D3490" s="8" t="s">
        <v>6244</v>
      </c>
    </row>
    <row r="3491" spans="1:4" x14ac:dyDescent="0.35">
      <c r="A3491" t="s">
        <v>2507</v>
      </c>
      <c r="B3491" s="8" t="s">
        <v>2508</v>
      </c>
      <c r="C3491" t="s">
        <v>7084</v>
      </c>
      <c r="D3491" s="8" t="s">
        <v>7085</v>
      </c>
    </row>
    <row r="3492" spans="1:4" x14ac:dyDescent="0.35">
      <c r="A3492" t="s">
        <v>2507</v>
      </c>
      <c r="B3492" s="8" t="s">
        <v>2508</v>
      </c>
      <c r="C3492" t="s">
        <v>6906</v>
      </c>
      <c r="D3492" s="8" t="s">
        <v>6907</v>
      </c>
    </row>
    <row r="3493" spans="1:4" x14ac:dyDescent="0.35">
      <c r="A3493" t="s">
        <v>2507</v>
      </c>
      <c r="B3493" s="8" t="s">
        <v>2508</v>
      </c>
      <c r="C3493" t="s">
        <v>6245</v>
      </c>
      <c r="D3493" s="8" t="s">
        <v>6246</v>
      </c>
    </row>
    <row r="3494" spans="1:4" x14ac:dyDescent="0.35">
      <c r="A3494" t="s">
        <v>2507</v>
      </c>
      <c r="B3494" s="8" t="s">
        <v>2508</v>
      </c>
      <c r="C3494" t="s">
        <v>6942</v>
      </c>
      <c r="D3494" s="8" t="s">
        <v>6943</v>
      </c>
    </row>
    <row r="3495" spans="1:4" x14ac:dyDescent="0.35">
      <c r="A3495" t="s">
        <v>2509</v>
      </c>
      <c r="B3495" s="8" t="s">
        <v>2510</v>
      </c>
      <c r="C3495" t="s">
        <v>6268</v>
      </c>
      <c r="D3495" s="8" t="s">
        <v>6269</v>
      </c>
    </row>
    <row r="3496" spans="1:4" x14ac:dyDescent="0.35">
      <c r="A3496" t="s">
        <v>2509</v>
      </c>
      <c r="B3496" s="8" t="s">
        <v>2510</v>
      </c>
      <c r="C3496" t="s">
        <v>6245</v>
      </c>
      <c r="D3496" s="8" t="s">
        <v>6246</v>
      </c>
    </row>
    <row r="3497" spans="1:4" x14ac:dyDescent="0.35">
      <c r="A3497" t="s">
        <v>2509</v>
      </c>
      <c r="B3497" s="8" t="s">
        <v>2510</v>
      </c>
      <c r="C3497" t="s">
        <v>6942</v>
      </c>
      <c r="D3497" s="8" t="s">
        <v>6943</v>
      </c>
    </row>
    <row r="3498" spans="1:4" x14ac:dyDescent="0.35">
      <c r="A3498" t="s">
        <v>2509</v>
      </c>
      <c r="B3498" s="8" t="s">
        <v>2510</v>
      </c>
      <c r="C3498" t="s">
        <v>6500</v>
      </c>
      <c r="D3498" s="8" t="s">
        <v>6501</v>
      </c>
    </row>
    <row r="3499" spans="1:4" x14ac:dyDescent="0.35">
      <c r="A3499" t="s">
        <v>2511</v>
      </c>
      <c r="B3499" s="8" t="s">
        <v>2512</v>
      </c>
      <c r="C3499" t="s">
        <v>6211</v>
      </c>
      <c r="D3499" s="8" t="s">
        <v>6212</v>
      </c>
    </row>
    <row r="3500" spans="1:4" x14ac:dyDescent="0.35">
      <c r="A3500" t="s">
        <v>2511</v>
      </c>
      <c r="B3500" s="8" t="s">
        <v>2512</v>
      </c>
      <c r="C3500" t="s">
        <v>6268</v>
      </c>
      <c r="D3500" s="8" t="s">
        <v>6269</v>
      </c>
    </row>
    <row r="3501" spans="1:4" x14ac:dyDescent="0.35">
      <c r="A3501" t="s">
        <v>2511</v>
      </c>
      <c r="B3501" s="8" t="s">
        <v>2512</v>
      </c>
      <c r="C3501" t="s">
        <v>6245</v>
      </c>
      <c r="D3501" s="8" t="s">
        <v>6246</v>
      </c>
    </row>
    <row r="3502" spans="1:4" x14ac:dyDescent="0.35">
      <c r="A3502" t="s">
        <v>2511</v>
      </c>
      <c r="B3502" s="8" t="s">
        <v>2512</v>
      </c>
      <c r="C3502" t="s">
        <v>6194</v>
      </c>
      <c r="D3502" s="8" t="s">
        <v>6195</v>
      </c>
    </row>
    <row r="3503" spans="1:4" x14ac:dyDescent="0.35">
      <c r="A3503" t="s">
        <v>2513</v>
      </c>
      <c r="B3503" s="8" t="s">
        <v>2514</v>
      </c>
      <c r="C3503" t="s">
        <v>6906</v>
      </c>
      <c r="D3503" s="8" t="s">
        <v>6907</v>
      </c>
    </row>
    <row r="3504" spans="1:4" x14ac:dyDescent="0.35">
      <c r="A3504" t="s">
        <v>2513</v>
      </c>
      <c r="B3504" s="8" t="s">
        <v>2514</v>
      </c>
      <c r="C3504" t="s">
        <v>6245</v>
      </c>
      <c r="D3504" s="8" t="s">
        <v>6246</v>
      </c>
    </row>
    <row r="3505" spans="1:4" x14ac:dyDescent="0.35">
      <c r="A3505" t="s">
        <v>2513</v>
      </c>
      <c r="B3505" s="8" t="s">
        <v>2514</v>
      </c>
      <c r="C3505" t="s">
        <v>6942</v>
      </c>
      <c r="D3505" s="8" t="s">
        <v>6943</v>
      </c>
    </row>
    <row r="3506" spans="1:4" x14ac:dyDescent="0.35">
      <c r="A3506" t="s">
        <v>2515</v>
      </c>
      <c r="B3506" s="8" t="s">
        <v>2516</v>
      </c>
      <c r="C3506" t="s">
        <v>6163</v>
      </c>
      <c r="D3506" s="8" t="s">
        <v>6164</v>
      </c>
    </row>
    <row r="3507" spans="1:4" x14ac:dyDescent="0.35">
      <c r="A3507" t="s">
        <v>2517</v>
      </c>
      <c r="B3507" s="8" t="s">
        <v>2518</v>
      </c>
      <c r="C3507" t="s">
        <v>6902</v>
      </c>
      <c r="D3507" s="8" t="s">
        <v>6903</v>
      </c>
    </row>
    <row r="3508" spans="1:4" x14ac:dyDescent="0.35">
      <c r="A3508" t="s">
        <v>2517</v>
      </c>
      <c r="B3508" s="8" t="s">
        <v>2518</v>
      </c>
      <c r="C3508" t="s">
        <v>7093</v>
      </c>
      <c r="D3508" s="8" t="s">
        <v>7094</v>
      </c>
    </row>
    <row r="3509" spans="1:4" x14ac:dyDescent="0.35">
      <c r="A3509" t="s">
        <v>2517</v>
      </c>
      <c r="B3509" s="8" t="s">
        <v>2518</v>
      </c>
      <c r="C3509" t="s">
        <v>6956</v>
      </c>
      <c r="D3509" s="8" t="s">
        <v>6957</v>
      </c>
    </row>
    <row r="3510" spans="1:4" x14ac:dyDescent="0.35">
      <c r="A3510" t="s">
        <v>2517</v>
      </c>
      <c r="B3510" s="8" t="s">
        <v>2518</v>
      </c>
      <c r="C3510" t="s">
        <v>7036</v>
      </c>
      <c r="D3510" s="8" t="s">
        <v>7037</v>
      </c>
    </row>
    <row r="3511" spans="1:4" x14ac:dyDescent="0.35">
      <c r="A3511" t="s">
        <v>2517</v>
      </c>
      <c r="B3511" s="8" t="s">
        <v>2518</v>
      </c>
      <c r="C3511" t="s">
        <v>6958</v>
      </c>
      <c r="D3511" s="8" t="s">
        <v>6959</v>
      </c>
    </row>
    <row r="3512" spans="1:4" x14ac:dyDescent="0.35">
      <c r="A3512" t="s">
        <v>2517</v>
      </c>
      <c r="B3512" s="8" t="s">
        <v>2518</v>
      </c>
      <c r="C3512" t="s">
        <v>7095</v>
      </c>
      <c r="D3512" s="8" t="s">
        <v>7096</v>
      </c>
    </row>
    <row r="3513" spans="1:4" x14ac:dyDescent="0.35">
      <c r="A3513" t="s">
        <v>2517</v>
      </c>
      <c r="B3513" s="8" t="s">
        <v>2518</v>
      </c>
      <c r="C3513" t="s">
        <v>7097</v>
      </c>
      <c r="D3513" s="8" t="s">
        <v>7098</v>
      </c>
    </row>
    <row r="3514" spans="1:4" x14ac:dyDescent="0.35">
      <c r="A3514" t="s">
        <v>2517</v>
      </c>
      <c r="B3514" s="8" t="s">
        <v>2518</v>
      </c>
      <c r="C3514" t="s">
        <v>7099</v>
      </c>
      <c r="D3514" s="8" t="s">
        <v>7100</v>
      </c>
    </row>
    <row r="3515" spans="1:4" x14ac:dyDescent="0.35">
      <c r="A3515" t="s">
        <v>2517</v>
      </c>
      <c r="B3515" s="8" t="s">
        <v>2518</v>
      </c>
      <c r="C3515" t="s">
        <v>6892</v>
      </c>
      <c r="D3515" s="8" t="s">
        <v>6893</v>
      </c>
    </row>
    <row r="3516" spans="1:4" x14ac:dyDescent="0.35">
      <c r="A3516" t="s">
        <v>2519</v>
      </c>
      <c r="B3516" s="8" t="s">
        <v>2520</v>
      </c>
      <c r="C3516" t="s">
        <v>6902</v>
      </c>
      <c r="D3516" s="8" t="s">
        <v>6903</v>
      </c>
    </row>
    <row r="3517" spans="1:4" x14ac:dyDescent="0.35">
      <c r="A3517" t="s">
        <v>2519</v>
      </c>
      <c r="B3517" s="8" t="s">
        <v>2520</v>
      </c>
      <c r="C3517" t="s">
        <v>7036</v>
      </c>
      <c r="D3517" s="8" t="s">
        <v>7037</v>
      </c>
    </row>
    <row r="3518" spans="1:4" x14ac:dyDescent="0.35">
      <c r="A3518" t="s">
        <v>7101</v>
      </c>
      <c r="B3518" s="8" t="s">
        <v>2521</v>
      </c>
      <c r="C3518" t="s">
        <v>6902</v>
      </c>
      <c r="D3518" s="8" t="s">
        <v>6903</v>
      </c>
    </row>
    <row r="3519" spans="1:4" x14ac:dyDescent="0.35">
      <c r="A3519" t="s">
        <v>7101</v>
      </c>
      <c r="B3519" s="8" t="s">
        <v>2521</v>
      </c>
      <c r="C3519" t="s">
        <v>7036</v>
      </c>
      <c r="D3519" s="8" t="s">
        <v>7037</v>
      </c>
    </row>
    <row r="3520" spans="1:4" x14ac:dyDescent="0.35">
      <c r="A3520" t="s">
        <v>7101</v>
      </c>
      <c r="B3520" s="8" t="s">
        <v>2521</v>
      </c>
      <c r="C3520" t="s">
        <v>6958</v>
      </c>
      <c r="D3520" s="8" t="s">
        <v>6959</v>
      </c>
    </row>
    <row r="3521" spans="1:4" x14ac:dyDescent="0.35">
      <c r="A3521" t="s">
        <v>7101</v>
      </c>
      <c r="B3521" s="8" t="s">
        <v>2521</v>
      </c>
      <c r="C3521" t="s">
        <v>7097</v>
      </c>
      <c r="D3521" s="8" t="s">
        <v>7098</v>
      </c>
    </row>
    <row r="3522" spans="1:4" x14ac:dyDescent="0.35">
      <c r="A3522" t="s">
        <v>7101</v>
      </c>
      <c r="B3522" s="8" t="s">
        <v>2521</v>
      </c>
      <c r="C3522" t="s">
        <v>6892</v>
      </c>
      <c r="D3522" s="8" t="s">
        <v>6893</v>
      </c>
    </row>
    <row r="3523" spans="1:4" x14ac:dyDescent="0.35">
      <c r="A3523" t="s">
        <v>2522</v>
      </c>
      <c r="B3523" s="8" t="s">
        <v>2523</v>
      </c>
      <c r="C3523" t="s">
        <v>6902</v>
      </c>
      <c r="D3523" s="8" t="s">
        <v>6903</v>
      </c>
    </row>
    <row r="3524" spans="1:4" x14ac:dyDescent="0.35">
      <c r="A3524" t="s">
        <v>2522</v>
      </c>
      <c r="B3524" s="8" t="s">
        <v>2523</v>
      </c>
      <c r="C3524" t="s">
        <v>7036</v>
      </c>
      <c r="D3524" s="8" t="s">
        <v>7037</v>
      </c>
    </row>
    <row r="3525" spans="1:4" x14ac:dyDescent="0.35">
      <c r="A3525" t="s">
        <v>2522</v>
      </c>
      <c r="B3525" s="8" t="s">
        <v>2523</v>
      </c>
      <c r="C3525" t="s">
        <v>6958</v>
      </c>
      <c r="D3525" s="8" t="s">
        <v>6959</v>
      </c>
    </row>
    <row r="3526" spans="1:4" x14ac:dyDescent="0.35">
      <c r="A3526" t="s">
        <v>2522</v>
      </c>
      <c r="B3526" s="8" t="s">
        <v>2523</v>
      </c>
      <c r="C3526" t="s">
        <v>7095</v>
      </c>
      <c r="D3526" s="8" t="s">
        <v>7096</v>
      </c>
    </row>
    <row r="3527" spans="1:4" x14ac:dyDescent="0.35">
      <c r="A3527" t="s">
        <v>2522</v>
      </c>
      <c r="B3527" s="8" t="s">
        <v>2523</v>
      </c>
      <c r="C3527" t="s">
        <v>7097</v>
      </c>
      <c r="D3527" s="8" t="s">
        <v>7098</v>
      </c>
    </row>
    <row r="3528" spans="1:4" x14ac:dyDescent="0.35">
      <c r="A3528" t="s">
        <v>2522</v>
      </c>
      <c r="B3528" s="8" t="s">
        <v>2523</v>
      </c>
      <c r="C3528" t="s">
        <v>6892</v>
      </c>
      <c r="D3528" s="8" t="s">
        <v>6893</v>
      </c>
    </row>
    <row r="3529" spans="1:4" x14ac:dyDescent="0.35">
      <c r="A3529" t="s">
        <v>2524</v>
      </c>
      <c r="B3529" s="8" t="s">
        <v>2525</v>
      </c>
      <c r="C3529" t="s">
        <v>6163</v>
      </c>
      <c r="D3529" s="8" t="s">
        <v>6164</v>
      </c>
    </row>
    <row r="3530" spans="1:4" x14ac:dyDescent="0.35">
      <c r="A3530" t="s">
        <v>2526</v>
      </c>
      <c r="B3530" s="8" t="s">
        <v>2527</v>
      </c>
      <c r="C3530" t="s">
        <v>6243</v>
      </c>
      <c r="D3530" s="8" t="s">
        <v>6244</v>
      </c>
    </row>
    <row r="3531" spans="1:4" x14ac:dyDescent="0.35">
      <c r="A3531" t="s">
        <v>2526</v>
      </c>
      <c r="B3531" s="8" t="s">
        <v>2527</v>
      </c>
      <c r="C3531" t="s">
        <v>6268</v>
      </c>
      <c r="D3531" s="8" t="s">
        <v>6269</v>
      </c>
    </row>
    <row r="3532" spans="1:4" x14ac:dyDescent="0.35">
      <c r="A3532" t="s">
        <v>2526</v>
      </c>
      <c r="B3532" s="8" t="s">
        <v>2527</v>
      </c>
      <c r="C3532" t="s">
        <v>6245</v>
      </c>
      <c r="D3532" s="8" t="s">
        <v>6246</v>
      </c>
    </row>
    <row r="3533" spans="1:4" x14ac:dyDescent="0.35">
      <c r="A3533" t="s">
        <v>2526</v>
      </c>
      <c r="B3533" s="8" t="s">
        <v>2527</v>
      </c>
      <c r="C3533" t="s">
        <v>6286</v>
      </c>
      <c r="D3533" s="8" t="s">
        <v>6287</v>
      </c>
    </row>
    <row r="3534" spans="1:4" x14ac:dyDescent="0.35">
      <c r="A3534" t="s">
        <v>2526</v>
      </c>
      <c r="B3534" s="8" t="s">
        <v>2527</v>
      </c>
      <c r="C3534" t="s">
        <v>6514</v>
      </c>
      <c r="D3534" s="8" t="s">
        <v>6515</v>
      </c>
    </row>
    <row r="3535" spans="1:4" x14ac:dyDescent="0.35">
      <c r="A3535" t="s">
        <v>2528</v>
      </c>
      <c r="B3535" s="8" t="s">
        <v>2529</v>
      </c>
      <c r="C3535" t="s">
        <v>6243</v>
      </c>
      <c r="D3535" s="8" t="s">
        <v>6244</v>
      </c>
    </row>
    <row r="3536" spans="1:4" x14ac:dyDescent="0.35">
      <c r="A3536" t="s">
        <v>2528</v>
      </c>
      <c r="B3536" s="8" t="s">
        <v>2529</v>
      </c>
      <c r="C3536" t="s">
        <v>6537</v>
      </c>
      <c r="D3536" s="8" t="s">
        <v>6538</v>
      </c>
    </row>
    <row r="3537" spans="1:4" x14ac:dyDescent="0.35">
      <c r="A3537" t="s">
        <v>2528</v>
      </c>
      <c r="B3537" s="8" t="s">
        <v>2529</v>
      </c>
      <c r="C3537" t="s">
        <v>6542</v>
      </c>
      <c r="D3537" s="8" t="s">
        <v>6543</v>
      </c>
    </row>
    <row r="3538" spans="1:4" x14ac:dyDescent="0.35">
      <c r="A3538" t="s">
        <v>2528</v>
      </c>
      <c r="B3538" s="8" t="s">
        <v>2529</v>
      </c>
      <c r="C3538" t="s">
        <v>7102</v>
      </c>
      <c r="D3538" s="8" t="s">
        <v>7103</v>
      </c>
    </row>
    <row r="3539" spans="1:4" x14ac:dyDescent="0.35">
      <c r="A3539" t="s">
        <v>2528</v>
      </c>
      <c r="B3539" s="8" t="s">
        <v>2529</v>
      </c>
      <c r="C3539" t="s">
        <v>6268</v>
      </c>
      <c r="D3539" s="8" t="s">
        <v>6269</v>
      </c>
    </row>
    <row r="3540" spans="1:4" x14ac:dyDescent="0.35">
      <c r="A3540" t="s">
        <v>2528</v>
      </c>
      <c r="B3540" s="8" t="s">
        <v>2529</v>
      </c>
      <c r="C3540" t="s">
        <v>6286</v>
      </c>
      <c r="D3540" s="8" t="s">
        <v>6287</v>
      </c>
    </row>
    <row r="3541" spans="1:4" x14ac:dyDescent="0.35">
      <c r="A3541" t="s">
        <v>7104</v>
      </c>
      <c r="B3541" s="8" t="s">
        <v>2530</v>
      </c>
      <c r="C3541" t="s">
        <v>6243</v>
      </c>
      <c r="D3541" s="8" t="s">
        <v>6244</v>
      </c>
    </row>
    <row r="3542" spans="1:4" x14ac:dyDescent="0.35">
      <c r="A3542" t="s">
        <v>7104</v>
      </c>
      <c r="B3542" s="8" t="s">
        <v>2530</v>
      </c>
      <c r="C3542" t="s">
        <v>6537</v>
      </c>
      <c r="D3542" s="8" t="s">
        <v>6538</v>
      </c>
    </row>
    <row r="3543" spans="1:4" x14ac:dyDescent="0.35">
      <c r="A3543" t="s">
        <v>7104</v>
      </c>
      <c r="B3543" s="8" t="s">
        <v>2530</v>
      </c>
      <c r="C3543" t="s">
        <v>7102</v>
      </c>
      <c r="D3543" s="8" t="s">
        <v>7103</v>
      </c>
    </row>
    <row r="3544" spans="1:4" x14ac:dyDescent="0.35">
      <c r="A3544" t="s">
        <v>7104</v>
      </c>
      <c r="B3544" s="8" t="s">
        <v>2530</v>
      </c>
      <c r="C3544" t="s">
        <v>6268</v>
      </c>
      <c r="D3544" s="8" t="s">
        <v>6269</v>
      </c>
    </row>
    <row r="3545" spans="1:4" x14ac:dyDescent="0.35">
      <c r="A3545" t="s">
        <v>7104</v>
      </c>
      <c r="B3545" s="8" t="s">
        <v>2530</v>
      </c>
      <c r="C3545" t="s">
        <v>6245</v>
      </c>
      <c r="D3545" s="8" t="s">
        <v>6246</v>
      </c>
    </row>
    <row r="3546" spans="1:4" x14ac:dyDescent="0.35">
      <c r="A3546" t="s">
        <v>7104</v>
      </c>
      <c r="B3546" s="8" t="s">
        <v>2530</v>
      </c>
      <c r="C3546" t="s">
        <v>7105</v>
      </c>
      <c r="D3546" s="8" t="s">
        <v>7106</v>
      </c>
    </row>
    <row r="3547" spans="1:4" x14ac:dyDescent="0.35">
      <c r="A3547" t="s">
        <v>7104</v>
      </c>
      <c r="B3547" s="8" t="s">
        <v>2530</v>
      </c>
      <c r="C3547" t="s">
        <v>6286</v>
      </c>
      <c r="D3547" s="8" t="s">
        <v>6287</v>
      </c>
    </row>
    <row r="3548" spans="1:4" x14ac:dyDescent="0.35">
      <c r="A3548" t="s">
        <v>7107</v>
      </c>
      <c r="B3548" s="8" t="s">
        <v>2531</v>
      </c>
      <c r="C3548" t="s">
        <v>6243</v>
      </c>
      <c r="D3548" s="8" t="s">
        <v>6244</v>
      </c>
    </row>
    <row r="3549" spans="1:4" x14ac:dyDescent="0.35">
      <c r="A3549" t="s">
        <v>7107</v>
      </c>
      <c r="B3549" s="8" t="s">
        <v>2531</v>
      </c>
      <c r="C3549" t="s">
        <v>6268</v>
      </c>
      <c r="D3549" s="8" t="s">
        <v>6269</v>
      </c>
    </row>
    <row r="3550" spans="1:4" x14ac:dyDescent="0.35">
      <c r="A3550" t="s">
        <v>7107</v>
      </c>
      <c r="B3550" s="8" t="s">
        <v>2531</v>
      </c>
      <c r="C3550" t="s">
        <v>6286</v>
      </c>
      <c r="D3550" s="8" t="s">
        <v>6287</v>
      </c>
    </row>
    <row r="3551" spans="1:4" x14ac:dyDescent="0.35">
      <c r="A3551" t="s">
        <v>7107</v>
      </c>
      <c r="B3551" s="8" t="s">
        <v>2531</v>
      </c>
      <c r="C3551" t="s">
        <v>6510</v>
      </c>
      <c r="D3551" s="8" t="s">
        <v>6511</v>
      </c>
    </row>
    <row r="3552" spans="1:4" x14ac:dyDescent="0.35">
      <c r="A3552" t="s">
        <v>7107</v>
      </c>
      <c r="B3552" s="8" t="s">
        <v>2531</v>
      </c>
      <c r="C3552" t="s">
        <v>6512</v>
      </c>
      <c r="D3552" s="8" t="s">
        <v>6513</v>
      </c>
    </row>
    <row r="3553" spans="1:4" x14ac:dyDescent="0.35">
      <c r="A3553" t="s">
        <v>7107</v>
      </c>
      <c r="B3553" s="8" t="s">
        <v>2531</v>
      </c>
      <c r="C3553" t="s">
        <v>6514</v>
      </c>
      <c r="D3553" s="8" t="s">
        <v>6515</v>
      </c>
    </row>
    <row r="3554" spans="1:4" x14ac:dyDescent="0.35">
      <c r="A3554" t="s">
        <v>2532</v>
      </c>
      <c r="B3554" s="8" t="s">
        <v>2534</v>
      </c>
      <c r="C3554" t="s">
        <v>6243</v>
      </c>
      <c r="D3554" s="8" t="s">
        <v>6244</v>
      </c>
    </row>
    <row r="3555" spans="1:4" x14ac:dyDescent="0.35">
      <c r="A3555" t="s">
        <v>2532</v>
      </c>
      <c r="B3555" s="8" t="s">
        <v>2534</v>
      </c>
      <c r="C3555" t="s">
        <v>6908</v>
      </c>
      <c r="D3555" s="8" t="s">
        <v>6909</v>
      </c>
    </row>
    <row r="3556" spans="1:4" x14ac:dyDescent="0.35">
      <c r="A3556" t="s">
        <v>2532</v>
      </c>
      <c r="B3556" s="8" t="s">
        <v>2534</v>
      </c>
      <c r="C3556" t="s">
        <v>6910</v>
      </c>
      <c r="D3556" s="8" t="s">
        <v>6911</v>
      </c>
    </row>
    <row r="3557" spans="1:4" x14ac:dyDescent="0.35">
      <c r="A3557" t="s">
        <v>2535</v>
      </c>
      <c r="B3557" s="8" t="s">
        <v>2536</v>
      </c>
      <c r="C3557" t="s">
        <v>6243</v>
      </c>
      <c r="D3557" s="8" t="s">
        <v>6244</v>
      </c>
    </row>
    <row r="3558" spans="1:4" x14ac:dyDescent="0.35">
      <c r="A3558" t="s">
        <v>2535</v>
      </c>
      <c r="B3558" s="8" t="s">
        <v>2536</v>
      </c>
      <c r="C3558" t="s">
        <v>6908</v>
      </c>
      <c r="D3558" s="8" t="s">
        <v>6909</v>
      </c>
    </row>
    <row r="3559" spans="1:4" x14ac:dyDescent="0.35">
      <c r="A3559" t="s">
        <v>2535</v>
      </c>
      <c r="B3559" s="8" t="s">
        <v>2536</v>
      </c>
      <c r="C3559" t="s">
        <v>6910</v>
      </c>
      <c r="D3559" s="8" t="s">
        <v>6911</v>
      </c>
    </row>
    <row r="3560" spans="1:4" x14ac:dyDescent="0.35">
      <c r="A3560" t="s">
        <v>2537</v>
      </c>
      <c r="B3560" s="8" t="s">
        <v>2538</v>
      </c>
      <c r="C3560" t="s">
        <v>6243</v>
      </c>
      <c r="D3560" s="8" t="s">
        <v>6244</v>
      </c>
    </row>
    <row r="3561" spans="1:4" x14ac:dyDescent="0.35">
      <c r="A3561" t="s">
        <v>2537</v>
      </c>
      <c r="B3561" s="8" t="s">
        <v>2538</v>
      </c>
      <c r="C3561" t="s">
        <v>6908</v>
      </c>
      <c r="D3561" s="8" t="s">
        <v>6909</v>
      </c>
    </row>
    <row r="3562" spans="1:4" x14ac:dyDescent="0.35">
      <c r="A3562" t="s">
        <v>2537</v>
      </c>
      <c r="B3562" s="8" t="s">
        <v>2538</v>
      </c>
      <c r="C3562" t="s">
        <v>6910</v>
      </c>
      <c r="D3562" s="8" t="s">
        <v>6911</v>
      </c>
    </row>
    <row r="3563" spans="1:4" x14ac:dyDescent="0.35">
      <c r="A3563" t="s">
        <v>2539</v>
      </c>
      <c r="B3563" s="8" t="s">
        <v>2540</v>
      </c>
      <c r="C3563" t="s">
        <v>6243</v>
      </c>
      <c r="D3563" s="8" t="s">
        <v>6244</v>
      </c>
    </row>
    <row r="3564" spans="1:4" x14ac:dyDescent="0.35">
      <c r="A3564" t="s">
        <v>2539</v>
      </c>
      <c r="B3564" s="8" t="s">
        <v>2540</v>
      </c>
      <c r="C3564" t="s">
        <v>6908</v>
      </c>
      <c r="D3564" s="8" t="s">
        <v>6909</v>
      </c>
    </row>
    <row r="3565" spans="1:4" x14ac:dyDescent="0.35">
      <c r="A3565" t="s">
        <v>2539</v>
      </c>
      <c r="B3565" s="8" t="s">
        <v>2540</v>
      </c>
      <c r="C3565" t="s">
        <v>6910</v>
      </c>
      <c r="D3565" s="8" t="s">
        <v>6911</v>
      </c>
    </row>
    <row r="3566" spans="1:4" x14ac:dyDescent="0.35">
      <c r="A3566" t="s">
        <v>2539</v>
      </c>
      <c r="B3566" s="8" t="s">
        <v>2540</v>
      </c>
      <c r="C3566" t="s">
        <v>6310</v>
      </c>
      <c r="D3566" s="8" t="s">
        <v>6311</v>
      </c>
    </row>
    <row r="3567" spans="1:4" x14ac:dyDescent="0.35">
      <c r="A3567" t="s">
        <v>7108</v>
      </c>
      <c r="B3567" s="8" t="s">
        <v>2541</v>
      </c>
      <c r="C3567" t="s">
        <v>6243</v>
      </c>
      <c r="D3567" s="8" t="s">
        <v>6244</v>
      </c>
    </row>
    <row r="3568" spans="1:4" x14ac:dyDescent="0.35">
      <c r="A3568" t="s">
        <v>7108</v>
      </c>
      <c r="B3568" s="8" t="s">
        <v>2541</v>
      </c>
      <c r="C3568" t="s">
        <v>6841</v>
      </c>
      <c r="D3568" s="8" t="s">
        <v>6842</v>
      </c>
    </row>
    <row r="3569" spans="1:4" x14ac:dyDescent="0.35">
      <c r="A3569" t="s">
        <v>7108</v>
      </c>
      <c r="B3569" s="8" t="s">
        <v>2541</v>
      </c>
      <c r="C3569" t="s">
        <v>6908</v>
      </c>
      <c r="D3569" s="8" t="s">
        <v>6909</v>
      </c>
    </row>
    <row r="3570" spans="1:4" x14ac:dyDescent="0.35">
      <c r="A3570" t="s">
        <v>7108</v>
      </c>
      <c r="B3570" s="8" t="s">
        <v>2541</v>
      </c>
      <c r="C3570" t="s">
        <v>6839</v>
      </c>
      <c r="D3570" s="8" t="s">
        <v>6840</v>
      </c>
    </row>
    <row r="3571" spans="1:4" x14ac:dyDescent="0.35">
      <c r="A3571" t="s">
        <v>7108</v>
      </c>
      <c r="B3571" s="8" t="s">
        <v>2541</v>
      </c>
      <c r="C3571" t="s">
        <v>6910</v>
      </c>
      <c r="D3571" s="8" t="s">
        <v>6911</v>
      </c>
    </row>
    <row r="3572" spans="1:4" x14ac:dyDescent="0.35">
      <c r="A3572" t="s">
        <v>2542</v>
      </c>
      <c r="B3572" s="8" t="s">
        <v>2543</v>
      </c>
      <c r="C3572" t="s">
        <v>6243</v>
      </c>
      <c r="D3572" s="8" t="s">
        <v>6244</v>
      </c>
    </row>
    <row r="3573" spans="1:4" x14ac:dyDescent="0.35">
      <c r="A3573" t="s">
        <v>2542</v>
      </c>
      <c r="B3573" s="8" t="s">
        <v>2543</v>
      </c>
      <c r="C3573" t="s">
        <v>6908</v>
      </c>
      <c r="D3573" s="8" t="s">
        <v>6909</v>
      </c>
    </row>
    <row r="3574" spans="1:4" x14ac:dyDescent="0.35">
      <c r="A3574" t="s">
        <v>2542</v>
      </c>
      <c r="B3574" s="8" t="s">
        <v>2543</v>
      </c>
      <c r="C3574" t="s">
        <v>6910</v>
      </c>
      <c r="D3574" s="8" t="s">
        <v>6911</v>
      </c>
    </row>
    <row r="3575" spans="1:4" x14ac:dyDescent="0.35">
      <c r="A3575" t="s">
        <v>2544</v>
      </c>
      <c r="B3575" s="8" t="s">
        <v>2545</v>
      </c>
      <c r="C3575" t="s">
        <v>6243</v>
      </c>
      <c r="D3575" s="8" t="s">
        <v>6244</v>
      </c>
    </row>
    <row r="3576" spans="1:4" x14ac:dyDescent="0.35">
      <c r="A3576" t="s">
        <v>2544</v>
      </c>
      <c r="B3576" s="8" t="s">
        <v>2545</v>
      </c>
      <c r="C3576" t="s">
        <v>6908</v>
      </c>
      <c r="D3576" s="8" t="s">
        <v>6909</v>
      </c>
    </row>
    <row r="3577" spans="1:4" x14ac:dyDescent="0.35">
      <c r="A3577" t="s">
        <v>2544</v>
      </c>
      <c r="B3577" s="8" t="s">
        <v>2545</v>
      </c>
      <c r="C3577" t="s">
        <v>6910</v>
      </c>
      <c r="D3577" s="8" t="s">
        <v>6911</v>
      </c>
    </row>
    <row r="3578" spans="1:4" x14ac:dyDescent="0.35">
      <c r="A3578" t="s">
        <v>2544</v>
      </c>
      <c r="B3578" s="8" t="s">
        <v>2545</v>
      </c>
      <c r="C3578" t="s">
        <v>7109</v>
      </c>
      <c r="D3578" s="8" t="s">
        <v>7110</v>
      </c>
    </row>
    <row r="3579" spans="1:4" x14ac:dyDescent="0.35">
      <c r="A3579" t="s">
        <v>2546</v>
      </c>
      <c r="B3579" s="8" t="s">
        <v>2547</v>
      </c>
      <c r="C3579" t="s">
        <v>6243</v>
      </c>
      <c r="D3579" s="8" t="s">
        <v>6244</v>
      </c>
    </row>
    <row r="3580" spans="1:4" x14ac:dyDescent="0.35">
      <c r="A3580" t="s">
        <v>2546</v>
      </c>
      <c r="B3580" s="8" t="s">
        <v>2547</v>
      </c>
      <c r="C3580" t="s">
        <v>6774</v>
      </c>
      <c r="D3580" s="8" t="s">
        <v>6775</v>
      </c>
    </row>
    <row r="3581" spans="1:4" x14ac:dyDescent="0.35">
      <c r="A3581" t="s">
        <v>2546</v>
      </c>
      <c r="B3581" s="8" t="s">
        <v>2547</v>
      </c>
      <c r="C3581" t="s">
        <v>7102</v>
      </c>
      <c r="D3581" s="8" t="s">
        <v>7103</v>
      </c>
    </row>
    <row r="3582" spans="1:4" x14ac:dyDescent="0.35">
      <c r="A3582" t="s">
        <v>2546</v>
      </c>
      <c r="B3582" s="8" t="s">
        <v>2547</v>
      </c>
      <c r="C3582" t="s">
        <v>7016</v>
      </c>
      <c r="D3582" s="8" t="s">
        <v>7017</v>
      </c>
    </row>
    <row r="3583" spans="1:4" x14ac:dyDescent="0.35">
      <c r="A3583" t="s">
        <v>2546</v>
      </c>
      <c r="B3583" s="8" t="s">
        <v>2547</v>
      </c>
      <c r="C3583" t="s">
        <v>6249</v>
      </c>
      <c r="D3583" s="8" t="s">
        <v>6250</v>
      </c>
    </row>
    <row r="3584" spans="1:4" x14ac:dyDescent="0.35">
      <c r="A3584" t="s">
        <v>2548</v>
      </c>
      <c r="B3584" s="8" t="s">
        <v>2549</v>
      </c>
      <c r="C3584" t="s">
        <v>6243</v>
      </c>
      <c r="D3584" s="8" t="s">
        <v>6244</v>
      </c>
    </row>
    <row r="3585" spans="1:4" x14ac:dyDescent="0.35">
      <c r="A3585" t="s">
        <v>2548</v>
      </c>
      <c r="B3585" s="8" t="s">
        <v>2549</v>
      </c>
      <c r="C3585" t="s">
        <v>7102</v>
      </c>
      <c r="D3585" s="8" t="s">
        <v>7103</v>
      </c>
    </row>
    <row r="3586" spans="1:4" x14ac:dyDescent="0.35">
      <c r="A3586" t="s">
        <v>2548</v>
      </c>
      <c r="B3586" s="8" t="s">
        <v>2549</v>
      </c>
      <c r="C3586" t="s">
        <v>6268</v>
      </c>
      <c r="D3586" s="8" t="s">
        <v>6269</v>
      </c>
    </row>
    <row r="3587" spans="1:4" x14ac:dyDescent="0.35">
      <c r="A3587" t="s">
        <v>2548</v>
      </c>
      <c r="B3587" s="8" t="s">
        <v>2549</v>
      </c>
      <c r="C3587" t="s">
        <v>7105</v>
      </c>
      <c r="D3587" s="8" t="s">
        <v>7106</v>
      </c>
    </row>
    <row r="3588" spans="1:4" x14ac:dyDescent="0.35">
      <c r="A3588" t="s">
        <v>7111</v>
      </c>
      <c r="B3588" s="8" t="s">
        <v>2550</v>
      </c>
      <c r="C3588" t="s">
        <v>6243</v>
      </c>
      <c r="D3588" s="8" t="s">
        <v>6244</v>
      </c>
    </row>
    <row r="3589" spans="1:4" x14ac:dyDescent="0.35">
      <c r="A3589" t="s">
        <v>7111</v>
      </c>
      <c r="B3589" s="8" t="s">
        <v>2550</v>
      </c>
      <c r="C3589" t="s">
        <v>7102</v>
      </c>
      <c r="D3589" s="8" t="s">
        <v>7103</v>
      </c>
    </row>
    <row r="3590" spans="1:4" x14ac:dyDescent="0.35">
      <c r="A3590" t="s">
        <v>7111</v>
      </c>
      <c r="B3590" s="8" t="s">
        <v>2550</v>
      </c>
      <c r="C3590" t="s">
        <v>6268</v>
      </c>
      <c r="D3590" s="8" t="s">
        <v>6269</v>
      </c>
    </row>
    <row r="3591" spans="1:4" x14ac:dyDescent="0.35">
      <c r="A3591" t="s">
        <v>7111</v>
      </c>
      <c r="B3591" s="8" t="s">
        <v>2550</v>
      </c>
      <c r="C3591" t="s">
        <v>7105</v>
      </c>
      <c r="D3591" s="8" t="s">
        <v>7106</v>
      </c>
    </row>
    <row r="3592" spans="1:4" x14ac:dyDescent="0.35">
      <c r="A3592" t="s">
        <v>7112</v>
      </c>
      <c r="B3592" s="8" t="s">
        <v>2551</v>
      </c>
      <c r="C3592" t="s">
        <v>6243</v>
      </c>
      <c r="D3592" s="8" t="s">
        <v>6244</v>
      </c>
    </row>
    <row r="3593" spans="1:4" x14ac:dyDescent="0.35">
      <c r="A3593" t="s">
        <v>7112</v>
      </c>
      <c r="B3593" s="8" t="s">
        <v>2551</v>
      </c>
      <c r="C3593" t="s">
        <v>7102</v>
      </c>
      <c r="D3593" s="8" t="s">
        <v>7103</v>
      </c>
    </row>
    <row r="3594" spans="1:4" x14ac:dyDescent="0.35">
      <c r="A3594" t="s">
        <v>7112</v>
      </c>
      <c r="B3594" s="8" t="s">
        <v>2551</v>
      </c>
      <c r="C3594" t="s">
        <v>6268</v>
      </c>
      <c r="D3594" s="8" t="s">
        <v>6269</v>
      </c>
    </row>
    <row r="3595" spans="1:4" x14ac:dyDescent="0.35">
      <c r="A3595" t="s">
        <v>7112</v>
      </c>
      <c r="B3595" s="8" t="s">
        <v>2551</v>
      </c>
      <c r="C3595" t="s">
        <v>7105</v>
      </c>
      <c r="D3595" s="8" t="s">
        <v>7106</v>
      </c>
    </row>
    <row r="3596" spans="1:4" x14ac:dyDescent="0.35">
      <c r="A3596" t="s">
        <v>2552</v>
      </c>
      <c r="B3596" s="8" t="s">
        <v>2553</v>
      </c>
      <c r="C3596" t="s">
        <v>6243</v>
      </c>
      <c r="D3596" s="8" t="s">
        <v>6244</v>
      </c>
    </row>
    <row r="3597" spans="1:4" x14ac:dyDescent="0.35">
      <c r="A3597" t="s">
        <v>2552</v>
      </c>
      <c r="B3597" s="8" t="s">
        <v>2553</v>
      </c>
      <c r="C3597" t="s">
        <v>6121</v>
      </c>
      <c r="D3597" s="8" t="s">
        <v>6122</v>
      </c>
    </row>
    <row r="3598" spans="1:4" x14ac:dyDescent="0.35">
      <c r="A3598" t="s">
        <v>2552</v>
      </c>
      <c r="B3598" s="8" t="s">
        <v>2553</v>
      </c>
      <c r="C3598" t="s">
        <v>6542</v>
      </c>
      <c r="D3598" s="8" t="s">
        <v>6543</v>
      </c>
    </row>
    <row r="3599" spans="1:4" x14ac:dyDescent="0.35">
      <c r="A3599" t="s">
        <v>2552</v>
      </c>
      <c r="B3599" s="8" t="s">
        <v>2553</v>
      </c>
      <c r="C3599" t="s">
        <v>6245</v>
      </c>
      <c r="D3599" s="8" t="s">
        <v>6246</v>
      </c>
    </row>
    <row r="3600" spans="1:4" x14ac:dyDescent="0.35">
      <c r="A3600" t="s">
        <v>2552</v>
      </c>
      <c r="B3600" s="8" t="s">
        <v>2553</v>
      </c>
      <c r="C3600" t="s">
        <v>6123</v>
      </c>
      <c r="D3600" s="8" t="s">
        <v>6124</v>
      </c>
    </row>
    <row r="3601" spans="1:4" x14ac:dyDescent="0.35">
      <c r="A3601" t="s">
        <v>2552</v>
      </c>
      <c r="B3601" s="8" t="s">
        <v>2553</v>
      </c>
      <c r="C3601" t="s">
        <v>6514</v>
      </c>
      <c r="D3601" s="8" t="s">
        <v>6515</v>
      </c>
    </row>
    <row r="3602" spans="1:4" x14ac:dyDescent="0.35">
      <c r="A3602" t="s">
        <v>2554</v>
      </c>
      <c r="B3602" s="8" t="s">
        <v>2555</v>
      </c>
      <c r="C3602" t="s">
        <v>6243</v>
      </c>
      <c r="D3602" s="8" t="s">
        <v>6244</v>
      </c>
    </row>
    <row r="3603" spans="1:4" x14ac:dyDescent="0.35">
      <c r="A3603" t="s">
        <v>2554</v>
      </c>
      <c r="B3603" s="8" t="s">
        <v>2555</v>
      </c>
      <c r="C3603" t="s">
        <v>6764</v>
      </c>
      <c r="D3603" s="8" t="s">
        <v>6765</v>
      </c>
    </row>
    <row r="3604" spans="1:4" x14ac:dyDescent="0.35">
      <c r="A3604" t="s">
        <v>2554</v>
      </c>
      <c r="B3604" s="8" t="s">
        <v>2555</v>
      </c>
      <c r="C3604" t="s">
        <v>6121</v>
      </c>
      <c r="D3604" s="8" t="s">
        <v>6122</v>
      </c>
    </row>
    <row r="3605" spans="1:4" x14ac:dyDescent="0.35">
      <c r="A3605" t="s">
        <v>2554</v>
      </c>
      <c r="B3605" s="8" t="s">
        <v>2555</v>
      </c>
      <c r="C3605" t="s">
        <v>6542</v>
      </c>
      <c r="D3605" s="8" t="s">
        <v>6543</v>
      </c>
    </row>
    <row r="3606" spans="1:4" x14ac:dyDescent="0.35">
      <c r="A3606" t="s">
        <v>2554</v>
      </c>
      <c r="B3606" s="8" t="s">
        <v>2555</v>
      </c>
      <c r="C3606" t="s">
        <v>6245</v>
      </c>
      <c r="D3606" s="8" t="s">
        <v>6246</v>
      </c>
    </row>
    <row r="3607" spans="1:4" x14ac:dyDescent="0.35">
      <c r="A3607" t="s">
        <v>2554</v>
      </c>
      <c r="B3607" s="8" t="s">
        <v>2555</v>
      </c>
      <c r="C3607" t="s">
        <v>6123</v>
      </c>
      <c r="D3607" s="8" t="s">
        <v>6124</v>
      </c>
    </row>
    <row r="3608" spans="1:4" x14ac:dyDescent="0.35">
      <c r="A3608" t="s">
        <v>2556</v>
      </c>
      <c r="B3608" s="8" t="s">
        <v>2557</v>
      </c>
      <c r="C3608" t="s">
        <v>6243</v>
      </c>
      <c r="D3608" s="8" t="s">
        <v>6244</v>
      </c>
    </row>
    <row r="3609" spans="1:4" x14ac:dyDescent="0.35">
      <c r="A3609" t="s">
        <v>2556</v>
      </c>
      <c r="B3609" s="8" t="s">
        <v>2557</v>
      </c>
      <c r="C3609" t="s">
        <v>6537</v>
      </c>
      <c r="D3609" s="8" t="s">
        <v>6538</v>
      </c>
    </row>
    <row r="3610" spans="1:4" x14ac:dyDescent="0.35">
      <c r="A3610" t="s">
        <v>2556</v>
      </c>
      <c r="B3610" s="8" t="s">
        <v>2557</v>
      </c>
      <c r="C3610" t="s">
        <v>6416</v>
      </c>
      <c r="D3610" s="8" t="s">
        <v>6417</v>
      </c>
    </row>
    <row r="3611" spans="1:4" x14ac:dyDescent="0.35">
      <c r="A3611" t="s">
        <v>2556</v>
      </c>
      <c r="B3611" s="8" t="s">
        <v>2557</v>
      </c>
      <c r="C3611" t="s">
        <v>6121</v>
      </c>
      <c r="D3611" s="8" t="s">
        <v>6122</v>
      </c>
    </row>
    <row r="3612" spans="1:4" x14ac:dyDescent="0.35">
      <c r="A3612" t="s">
        <v>2556</v>
      </c>
      <c r="B3612" s="8" t="s">
        <v>2557</v>
      </c>
      <c r="C3612" t="s">
        <v>6245</v>
      </c>
      <c r="D3612" s="8" t="s">
        <v>6246</v>
      </c>
    </row>
    <row r="3613" spans="1:4" x14ac:dyDescent="0.35">
      <c r="A3613" t="s">
        <v>2556</v>
      </c>
      <c r="B3613" s="8" t="s">
        <v>2557</v>
      </c>
      <c r="C3613" t="s">
        <v>6123</v>
      </c>
      <c r="D3613" s="8" t="s">
        <v>6124</v>
      </c>
    </row>
    <row r="3614" spans="1:4" x14ac:dyDescent="0.35">
      <c r="A3614" t="s">
        <v>2558</v>
      </c>
      <c r="B3614" s="8" t="s">
        <v>2559</v>
      </c>
      <c r="C3614" t="s">
        <v>6243</v>
      </c>
      <c r="D3614" s="8" t="s">
        <v>6244</v>
      </c>
    </row>
    <row r="3615" spans="1:4" x14ac:dyDescent="0.35">
      <c r="A3615" t="s">
        <v>2558</v>
      </c>
      <c r="B3615" s="8" t="s">
        <v>2559</v>
      </c>
      <c r="C3615" t="s">
        <v>6121</v>
      </c>
      <c r="D3615" s="8" t="s">
        <v>6122</v>
      </c>
    </row>
    <row r="3616" spans="1:4" x14ac:dyDescent="0.35">
      <c r="A3616" t="s">
        <v>2558</v>
      </c>
      <c r="B3616" s="8" t="s">
        <v>2559</v>
      </c>
      <c r="C3616" t="s">
        <v>6245</v>
      </c>
      <c r="D3616" s="8" t="s">
        <v>6246</v>
      </c>
    </row>
    <row r="3617" spans="1:4" x14ac:dyDescent="0.35">
      <c r="A3617" t="s">
        <v>2558</v>
      </c>
      <c r="B3617" s="8" t="s">
        <v>2559</v>
      </c>
      <c r="C3617" t="s">
        <v>6123</v>
      </c>
      <c r="D3617" s="8" t="s">
        <v>6124</v>
      </c>
    </row>
    <row r="3618" spans="1:4" x14ac:dyDescent="0.35">
      <c r="A3618" t="s">
        <v>2560</v>
      </c>
      <c r="B3618" s="8" t="s">
        <v>2561</v>
      </c>
      <c r="C3618" t="s">
        <v>6243</v>
      </c>
      <c r="D3618" s="8" t="s">
        <v>6244</v>
      </c>
    </row>
    <row r="3619" spans="1:4" x14ac:dyDescent="0.35">
      <c r="A3619" t="s">
        <v>2560</v>
      </c>
      <c r="B3619" s="8" t="s">
        <v>2561</v>
      </c>
      <c r="C3619" t="s">
        <v>6121</v>
      </c>
      <c r="D3619" s="8" t="s">
        <v>6122</v>
      </c>
    </row>
    <row r="3620" spans="1:4" x14ac:dyDescent="0.35">
      <c r="A3620" t="s">
        <v>2560</v>
      </c>
      <c r="B3620" s="8" t="s">
        <v>2561</v>
      </c>
      <c r="C3620" t="s">
        <v>6123</v>
      </c>
      <c r="D3620" s="8" t="s">
        <v>6124</v>
      </c>
    </row>
    <row r="3621" spans="1:4" x14ac:dyDescent="0.35">
      <c r="A3621" t="s">
        <v>2562</v>
      </c>
      <c r="B3621" s="8" t="s">
        <v>2563</v>
      </c>
      <c r="C3621" t="s">
        <v>6243</v>
      </c>
      <c r="D3621" s="8" t="s">
        <v>6244</v>
      </c>
    </row>
    <row r="3622" spans="1:4" x14ac:dyDescent="0.35">
      <c r="A3622" t="s">
        <v>2562</v>
      </c>
      <c r="B3622" s="8" t="s">
        <v>2563</v>
      </c>
      <c r="C3622" t="s">
        <v>6121</v>
      </c>
      <c r="D3622" s="8" t="s">
        <v>6122</v>
      </c>
    </row>
    <row r="3623" spans="1:4" x14ac:dyDescent="0.35">
      <c r="A3623" t="s">
        <v>2562</v>
      </c>
      <c r="B3623" s="8" t="s">
        <v>2563</v>
      </c>
      <c r="C3623" t="s">
        <v>6123</v>
      </c>
      <c r="D3623" s="8" t="s">
        <v>6124</v>
      </c>
    </row>
    <row r="3624" spans="1:4" x14ac:dyDescent="0.35">
      <c r="A3624" t="s">
        <v>2564</v>
      </c>
      <c r="B3624" s="8" t="s">
        <v>2565</v>
      </c>
      <c r="C3624" t="s">
        <v>6243</v>
      </c>
      <c r="D3624" s="8" t="s">
        <v>6244</v>
      </c>
    </row>
    <row r="3625" spans="1:4" x14ac:dyDescent="0.35">
      <c r="A3625" t="s">
        <v>2564</v>
      </c>
      <c r="B3625" s="8" t="s">
        <v>2565</v>
      </c>
      <c r="C3625" t="s">
        <v>6735</v>
      </c>
      <c r="D3625" s="8" t="s">
        <v>6736</v>
      </c>
    </row>
    <row r="3626" spans="1:4" x14ac:dyDescent="0.35">
      <c r="A3626" t="s">
        <v>2564</v>
      </c>
      <c r="B3626" s="8" t="s">
        <v>2565</v>
      </c>
      <c r="C3626" t="s">
        <v>6927</v>
      </c>
      <c r="D3626" s="8" t="s">
        <v>6928</v>
      </c>
    </row>
    <row r="3627" spans="1:4" x14ac:dyDescent="0.35">
      <c r="A3627" t="s">
        <v>2564</v>
      </c>
      <c r="B3627" s="8" t="s">
        <v>2565</v>
      </c>
      <c r="C3627" t="s">
        <v>6598</v>
      </c>
      <c r="D3627" s="8" t="s">
        <v>6599</v>
      </c>
    </row>
    <row r="3628" spans="1:4" x14ac:dyDescent="0.35">
      <c r="A3628" t="s">
        <v>2566</v>
      </c>
      <c r="B3628" s="8" t="s">
        <v>2567</v>
      </c>
      <c r="C3628" t="s">
        <v>6243</v>
      </c>
      <c r="D3628" s="8" t="s">
        <v>6244</v>
      </c>
    </row>
    <row r="3629" spans="1:4" x14ac:dyDescent="0.35">
      <c r="A3629" t="s">
        <v>2566</v>
      </c>
      <c r="B3629" s="8" t="s">
        <v>2567</v>
      </c>
      <c r="C3629" t="s">
        <v>6662</v>
      </c>
      <c r="D3629" s="8" t="s">
        <v>6663</v>
      </c>
    </row>
    <row r="3630" spans="1:4" x14ac:dyDescent="0.35">
      <c r="A3630" t="s">
        <v>2566</v>
      </c>
      <c r="B3630" s="8" t="s">
        <v>2567</v>
      </c>
      <c r="C3630" t="s">
        <v>6735</v>
      </c>
      <c r="D3630" s="8" t="s">
        <v>6736</v>
      </c>
    </row>
    <row r="3631" spans="1:4" x14ac:dyDescent="0.35">
      <c r="A3631" t="s">
        <v>2566</v>
      </c>
      <c r="B3631" s="8" t="s">
        <v>2567</v>
      </c>
      <c r="C3631" t="s">
        <v>6927</v>
      </c>
      <c r="D3631" s="8" t="s">
        <v>6928</v>
      </c>
    </row>
    <row r="3632" spans="1:4" x14ac:dyDescent="0.35">
      <c r="A3632" t="s">
        <v>2566</v>
      </c>
      <c r="B3632" s="8" t="s">
        <v>2567</v>
      </c>
      <c r="C3632" t="s">
        <v>6598</v>
      </c>
      <c r="D3632" s="8" t="s">
        <v>6599</v>
      </c>
    </row>
    <row r="3633" spans="1:4" x14ac:dyDescent="0.35">
      <c r="A3633" t="s">
        <v>2568</v>
      </c>
      <c r="B3633" s="8" t="s">
        <v>2569</v>
      </c>
      <c r="C3633" t="s">
        <v>6243</v>
      </c>
      <c r="D3633" s="8" t="s">
        <v>6244</v>
      </c>
    </row>
    <row r="3634" spans="1:4" x14ac:dyDescent="0.35">
      <c r="A3634" t="s">
        <v>2568</v>
      </c>
      <c r="B3634" s="8" t="s">
        <v>2569</v>
      </c>
      <c r="C3634" t="s">
        <v>6927</v>
      </c>
      <c r="D3634" s="8" t="s">
        <v>6928</v>
      </c>
    </row>
    <row r="3635" spans="1:4" x14ac:dyDescent="0.35">
      <c r="A3635" t="s">
        <v>2568</v>
      </c>
      <c r="B3635" s="8" t="s">
        <v>2569</v>
      </c>
      <c r="C3635" t="s">
        <v>6598</v>
      </c>
      <c r="D3635" s="8" t="s">
        <v>6599</v>
      </c>
    </row>
    <row r="3636" spans="1:4" x14ac:dyDescent="0.35">
      <c r="A3636" t="s">
        <v>2570</v>
      </c>
      <c r="B3636" s="8" t="s">
        <v>2571</v>
      </c>
      <c r="C3636" t="s">
        <v>6243</v>
      </c>
      <c r="D3636" s="8" t="s">
        <v>6244</v>
      </c>
    </row>
    <row r="3637" spans="1:4" x14ac:dyDescent="0.35">
      <c r="A3637" t="s">
        <v>2570</v>
      </c>
      <c r="B3637" s="8" t="s">
        <v>2571</v>
      </c>
      <c r="C3637" t="s">
        <v>6906</v>
      </c>
      <c r="D3637" s="8" t="s">
        <v>6907</v>
      </c>
    </row>
    <row r="3638" spans="1:4" x14ac:dyDescent="0.35">
      <c r="A3638" t="s">
        <v>2570</v>
      </c>
      <c r="B3638" s="8" t="s">
        <v>2571</v>
      </c>
      <c r="C3638" t="s">
        <v>6942</v>
      </c>
      <c r="D3638" s="8" t="s">
        <v>6943</v>
      </c>
    </row>
    <row r="3639" spans="1:4" x14ac:dyDescent="0.35">
      <c r="A3639" t="s">
        <v>2572</v>
      </c>
      <c r="B3639" s="8" t="s">
        <v>2573</v>
      </c>
      <c r="C3639" t="s">
        <v>6243</v>
      </c>
      <c r="D3639" s="8" t="s">
        <v>6244</v>
      </c>
    </row>
    <row r="3640" spans="1:4" x14ac:dyDescent="0.35">
      <c r="A3640" t="s">
        <v>2572</v>
      </c>
      <c r="B3640" s="8" t="s">
        <v>2573</v>
      </c>
      <c r="C3640" t="s">
        <v>6906</v>
      </c>
      <c r="D3640" s="8" t="s">
        <v>6907</v>
      </c>
    </row>
    <row r="3641" spans="1:4" x14ac:dyDescent="0.35">
      <c r="A3641" t="s">
        <v>2572</v>
      </c>
      <c r="B3641" s="8" t="s">
        <v>2573</v>
      </c>
      <c r="C3641" t="s">
        <v>6942</v>
      </c>
      <c r="D3641" s="8" t="s">
        <v>6943</v>
      </c>
    </row>
    <row r="3642" spans="1:4" x14ac:dyDescent="0.35">
      <c r="A3642" t="s">
        <v>2574</v>
      </c>
      <c r="B3642" s="8" t="s">
        <v>2575</v>
      </c>
      <c r="C3642" t="s">
        <v>6243</v>
      </c>
      <c r="D3642" s="8" t="s">
        <v>6244</v>
      </c>
    </row>
    <row r="3643" spans="1:4" x14ac:dyDescent="0.35">
      <c r="A3643" t="s">
        <v>2574</v>
      </c>
      <c r="B3643" s="8" t="s">
        <v>2575</v>
      </c>
      <c r="C3643" t="s">
        <v>6906</v>
      </c>
      <c r="D3643" s="8" t="s">
        <v>6907</v>
      </c>
    </row>
    <row r="3644" spans="1:4" x14ac:dyDescent="0.35">
      <c r="A3644" t="s">
        <v>2574</v>
      </c>
      <c r="B3644" s="8" t="s">
        <v>2575</v>
      </c>
      <c r="C3644" t="s">
        <v>6942</v>
      </c>
      <c r="D3644" s="8" t="s">
        <v>6943</v>
      </c>
    </row>
    <row r="3645" spans="1:4" x14ac:dyDescent="0.35">
      <c r="A3645" t="s">
        <v>2576</v>
      </c>
      <c r="B3645" s="8" t="s">
        <v>2577</v>
      </c>
      <c r="C3645" t="s">
        <v>6243</v>
      </c>
      <c r="D3645" s="8" t="s">
        <v>6244</v>
      </c>
    </row>
    <row r="3646" spans="1:4" x14ac:dyDescent="0.35">
      <c r="A3646" t="s">
        <v>2576</v>
      </c>
      <c r="B3646" s="8" t="s">
        <v>2577</v>
      </c>
      <c r="C3646" t="s">
        <v>6906</v>
      </c>
      <c r="D3646" s="8" t="s">
        <v>6907</v>
      </c>
    </row>
    <row r="3647" spans="1:4" x14ac:dyDescent="0.35">
      <c r="A3647" t="s">
        <v>2576</v>
      </c>
      <c r="B3647" s="8" t="s">
        <v>2577</v>
      </c>
      <c r="C3647" t="s">
        <v>6245</v>
      </c>
      <c r="D3647" s="8" t="s">
        <v>6246</v>
      </c>
    </row>
    <row r="3648" spans="1:4" x14ac:dyDescent="0.35">
      <c r="A3648" t="s">
        <v>2576</v>
      </c>
      <c r="B3648" s="8" t="s">
        <v>2577</v>
      </c>
      <c r="C3648" t="s">
        <v>6942</v>
      </c>
      <c r="D3648" s="8" t="s">
        <v>6943</v>
      </c>
    </row>
    <row r="3649" spans="1:4" x14ac:dyDescent="0.35">
      <c r="A3649" t="s">
        <v>2576</v>
      </c>
      <c r="B3649" s="8" t="s">
        <v>2577</v>
      </c>
      <c r="C3649" t="s">
        <v>6514</v>
      </c>
      <c r="D3649" s="8" t="s">
        <v>6515</v>
      </c>
    </row>
    <row r="3650" spans="1:4" x14ac:dyDescent="0.35">
      <c r="A3650" t="s">
        <v>2578</v>
      </c>
      <c r="B3650" s="8" t="s">
        <v>2579</v>
      </c>
      <c r="C3650" t="s">
        <v>6243</v>
      </c>
      <c r="D3650" s="8" t="s">
        <v>6244</v>
      </c>
    </row>
    <row r="3651" spans="1:4" x14ac:dyDescent="0.35">
      <c r="A3651" t="s">
        <v>2578</v>
      </c>
      <c r="B3651" s="8" t="s">
        <v>2579</v>
      </c>
      <c r="C3651" t="s">
        <v>6906</v>
      </c>
      <c r="D3651" s="8" t="s">
        <v>6907</v>
      </c>
    </row>
    <row r="3652" spans="1:4" x14ac:dyDescent="0.35">
      <c r="A3652" t="s">
        <v>2578</v>
      </c>
      <c r="B3652" s="8" t="s">
        <v>2579</v>
      </c>
      <c r="C3652" t="s">
        <v>6942</v>
      </c>
      <c r="D3652" s="8" t="s">
        <v>6943</v>
      </c>
    </row>
    <row r="3653" spans="1:4" x14ac:dyDescent="0.35">
      <c r="A3653" t="s">
        <v>2578</v>
      </c>
      <c r="B3653" s="8" t="s">
        <v>2579</v>
      </c>
      <c r="C3653" t="s">
        <v>6514</v>
      </c>
      <c r="D3653" s="8" t="s">
        <v>6515</v>
      </c>
    </row>
    <row r="3654" spans="1:4" x14ac:dyDescent="0.35">
      <c r="A3654" t="s">
        <v>2580</v>
      </c>
      <c r="B3654" s="8" t="s">
        <v>2581</v>
      </c>
      <c r="C3654" t="s">
        <v>6243</v>
      </c>
      <c r="D3654" s="8" t="s">
        <v>6244</v>
      </c>
    </row>
    <row r="3655" spans="1:4" x14ac:dyDescent="0.35">
      <c r="A3655" t="s">
        <v>2580</v>
      </c>
      <c r="B3655" s="8" t="s">
        <v>2581</v>
      </c>
      <c r="C3655" t="s">
        <v>6906</v>
      </c>
      <c r="D3655" s="8" t="s">
        <v>6907</v>
      </c>
    </row>
    <row r="3656" spans="1:4" x14ac:dyDescent="0.35">
      <c r="A3656" t="s">
        <v>2580</v>
      </c>
      <c r="B3656" s="8" t="s">
        <v>2581</v>
      </c>
      <c r="C3656" t="s">
        <v>6514</v>
      </c>
      <c r="D3656" s="8" t="s">
        <v>6515</v>
      </c>
    </row>
    <row r="3657" spans="1:4" x14ac:dyDescent="0.35">
      <c r="A3657" t="s">
        <v>2582</v>
      </c>
      <c r="B3657" s="8" t="s">
        <v>2583</v>
      </c>
      <c r="C3657" t="s">
        <v>6243</v>
      </c>
      <c r="D3657" s="8" t="s">
        <v>6244</v>
      </c>
    </row>
    <row r="3658" spans="1:4" x14ac:dyDescent="0.35">
      <c r="A3658" t="s">
        <v>2582</v>
      </c>
      <c r="B3658" s="8" t="s">
        <v>2583</v>
      </c>
      <c r="C3658" t="s">
        <v>6121</v>
      </c>
      <c r="D3658" s="8" t="s">
        <v>6122</v>
      </c>
    </row>
    <row r="3659" spans="1:4" x14ac:dyDescent="0.35">
      <c r="A3659" t="s">
        <v>2582</v>
      </c>
      <c r="B3659" s="8" t="s">
        <v>2583</v>
      </c>
      <c r="C3659" t="s">
        <v>6906</v>
      </c>
      <c r="D3659" s="8" t="s">
        <v>6907</v>
      </c>
    </row>
    <row r="3660" spans="1:4" x14ac:dyDescent="0.35">
      <c r="A3660" t="s">
        <v>2582</v>
      </c>
      <c r="B3660" s="8" t="s">
        <v>2583</v>
      </c>
      <c r="C3660" t="s">
        <v>6245</v>
      </c>
      <c r="D3660" s="8" t="s">
        <v>6246</v>
      </c>
    </row>
    <row r="3661" spans="1:4" x14ac:dyDescent="0.35">
      <c r="A3661" t="s">
        <v>2582</v>
      </c>
      <c r="B3661" s="8" t="s">
        <v>2583</v>
      </c>
      <c r="C3661" t="s">
        <v>6123</v>
      </c>
      <c r="D3661" s="8" t="s">
        <v>6124</v>
      </c>
    </row>
    <row r="3662" spans="1:4" x14ac:dyDescent="0.35">
      <c r="A3662" t="s">
        <v>2582</v>
      </c>
      <c r="B3662" s="8" t="s">
        <v>2583</v>
      </c>
      <c r="C3662" t="s">
        <v>6942</v>
      </c>
      <c r="D3662" s="8" t="s">
        <v>6943</v>
      </c>
    </row>
    <row r="3663" spans="1:4" x14ac:dyDescent="0.35">
      <c r="A3663" t="s">
        <v>2584</v>
      </c>
      <c r="B3663" s="8" t="s">
        <v>2585</v>
      </c>
      <c r="C3663" t="s">
        <v>6243</v>
      </c>
      <c r="D3663" s="8" t="s">
        <v>6244</v>
      </c>
    </row>
    <row r="3664" spans="1:4" x14ac:dyDescent="0.35">
      <c r="A3664" t="s">
        <v>2584</v>
      </c>
      <c r="B3664" s="8" t="s">
        <v>2585</v>
      </c>
      <c r="C3664" t="s">
        <v>6906</v>
      </c>
      <c r="D3664" s="8" t="s">
        <v>6907</v>
      </c>
    </row>
    <row r="3665" spans="1:4" x14ac:dyDescent="0.35">
      <c r="A3665" t="s">
        <v>2584</v>
      </c>
      <c r="B3665" s="8" t="s">
        <v>2585</v>
      </c>
      <c r="C3665" t="s">
        <v>6942</v>
      </c>
      <c r="D3665" s="8" t="s">
        <v>6943</v>
      </c>
    </row>
    <row r="3666" spans="1:4" x14ac:dyDescent="0.35">
      <c r="A3666" t="s">
        <v>2584</v>
      </c>
      <c r="B3666" s="8" t="s">
        <v>2585</v>
      </c>
      <c r="C3666" t="s">
        <v>6514</v>
      </c>
      <c r="D3666" s="8" t="s">
        <v>6515</v>
      </c>
    </row>
    <row r="3667" spans="1:4" x14ac:dyDescent="0.35">
      <c r="A3667" t="s">
        <v>2586</v>
      </c>
      <c r="B3667" s="8" t="s">
        <v>2588</v>
      </c>
      <c r="C3667" t="s">
        <v>6243</v>
      </c>
      <c r="D3667" s="8" t="s">
        <v>6244</v>
      </c>
    </row>
    <row r="3668" spans="1:4" x14ac:dyDescent="0.35">
      <c r="A3668" t="s">
        <v>2586</v>
      </c>
      <c r="B3668" s="8" t="s">
        <v>2588</v>
      </c>
      <c r="C3668" t="s">
        <v>7102</v>
      </c>
      <c r="D3668" s="8" t="s">
        <v>7103</v>
      </c>
    </row>
    <row r="3669" spans="1:4" x14ac:dyDescent="0.35">
      <c r="A3669" t="s">
        <v>2586</v>
      </c>
      <c r="B3669" s="8" t="s">
        <v>2588</v>
      </c>
      <c r="C3669" t="s">
        <v>6245</v>
      </c>
      <c r="D3669" s="8" t="s">
        <v>6246</v>
      </c>
    </row>
    <row r="3670" spans="1:4" x14ac:dyDescent="0.35">
      <c r="A3670" t="s">
        <v>2586</v>
      </c>
      <c r="B3670" s="8" t="s">
        <v>2588</v>
      </c>
      <c r="C3670" t="s">
        <v>7105</v>
      </c>
      <c r="D3670" s="8" t="s">
        <v>7106</v>
      </c>
    </row>
    <row r="3671" spans="1:4" x14ac:dyDescent="0.35">
      <c r="A3671" t="s">
        <v>7113</v>
      </c>
      <c r="B3671" s="8" t="s">
        <v>2589</v>
      </c>
      <c r="C3671" t="s">
        <v>6243</v>
      </c>
      <c r="D3671" s="8" t="s">
        <v>6244</v>
      </c>
    </row>
    <row r="3672" spans="1:4" x14ac:dyDescent="0.35">
      <c r="A3672" t="s">
        <v>7113</v>
      </c>
      <c r="B3672" s="8" t="s">
        <v>2589</v>
      </c>
      <c r="C3672" t="s">
        <v>7102</v>
      </c>
      <c r="D3672" s="8" t="s">
        <v>7103</v>
      </c>
    </row>
    <row r="3673" spans="1:4" x14ac:dyDescent="0.35">
      <c r="A3673" t="s">
        <v>7113</v>
      </c>
      <c r="B3673" s="8" t="s">
        <v>2589</v>
      </c>
      <c r="C3673" t="s">
        <v>6245</v>
      </c>
      <c r="D3673" s="8" t="s">
        <v>6246</v>
      </c>
    </row>
    <row r="3674" spans="1:4" x14ac:dyDescent="0.35">
      <c r="A3674" t="s">
        <v>7113</v>
      </c>
      <c r="B3674" s="8" t="s">
        <v>2589</v>
      </c>
      <c r="C3674" t="s">
        <v>7105</v>
      </c>
      <c r="D3674" s="8" t="s">
        <v>7106</v>
      </c>
    </row>
    <row r="3675" spans="1:4" x14ac:dyDescent="0.35">
      <c r="A3675" t="s">
        <v>7114</v>
      </c>
      <c r="B3675" s="8" t="s">
        <v>2596</v>
      </c>
      <c r="C3675" t="s">
        <v>6243</v>
      </c>
      <c r="D3675" s="8" t="s">
        <v>6244</v>
      </c>
    </row>
    <row r="3676" spans="1:4" x14ac:dyDescent="0.35">
      <c r="A3676" t="s">
        <v>7114</v>
      </c>
      <c r="B3676" s="8" t="s">
        <v>2596</v>
      </c>
      <c r="C3676" t="s">
        <v>7102</v>
      </c>
      <c r="D3676" s="8" t="s">
        <v>7103</v>
      </c>
    </row>
    <row r="3677" spans="1:4" x14ac:dyDescent="0.35">
      <c r="A3677" t="s">
        <v>7114</v>
      </c>
      <c r="B3677" s="8" t="s">
        <v>2596</v>
      </c>
      <c r="C3677" t="s">
        <v>7105</v>
      </c>
      <c r="D3677" s="8" t="s">
        <v>7106</v>
      </c>
    </row>
    <row r="3678" spans="1:4" x14ac:dyDescent="0.35">
      <c r="A3678" t="s">
        <v>7114</v>
      </c>
      <c r="B3678" s="8" t="s">
        <v>2596</v>
      </c>
      <c r="C3678" t="s">
        <v>6286</v>
      </c>
      <c r="D3678" s="8" t="s">
        <v>6287</v>
      </c>
    </row>
    <row r="3679" spans="1:4" x14ac:dyDescent="0.35">
      <c r="A3679" t="s">
        <v>7115</v>
      </c>
      <c r="B3679" s="8" t="s">
        <v>2590</v>
      </c>
      <c r="C3679" t="s">
        <v>6243</v>
      </c>
      <c r="D3679" s="8" t="s">
        <v>6244</v>
      </c>
    </row>
    <row r="3680" spans="1:4" x14ac:dyDescent="0.35">
      <c r="A3680" t="s">
        <v>7115</v>
      </c>
      <c r="B3680" s="8" t="s">
        <v>2590</v>
      </c>
      <c r="C3680" t="s">
        <v>7102</v>
      </c>
      <c r="D3680" s="8" t="s">
        <v>7103</v>
      </c>
    </row>
    <row r="3681" spans="1:4" x14ac:dyDescent="0.35">
      <c r="A3681" t="s">
        <v>7115</v>
      </c>
      <c r="B3681" s="8" t="s">
        <v>2590</v>
      </c>
      <c r="C3681" t="s">
        <v>7105</v>
      </c>
      <c r="D3681" s="8" t="s">
        <v>7106</v>
      </c>
    </row>
    <row r="3682" spans="1:4" x14ac:dyDescent="0.35">
      <c r="A3682" t="s">
        <v>7115</v>
      </c>
      <c r="B3682" s="8" t="s">
        <v>2590</v>
      </c>
      <c r="C3682" t="s">
        <v>6286</v>
      </c>
      <c r="D3682" s="8" t="s">
        <v>6287</v>
      </c>
    </row>
    <row r="3683" spans="1:4" x14ac:dyDescent="0.35">
      <c r="A3683" t="s">
        <v>2591</v>
      </c>
      <c r="B3683" s="8" t="s">
        <v>2592</v>
      </c>
      <c r="C3683" t="s">
        <v>6243</v>
      </c>
      <c r="D3683" s="8" t="s">
        <v>6244</v>
      </c>
    </row>
    <row r="3684" spans="1:4" x14ac:dyDescent="0.35">
      <c r="A3684" t="s">
        <v>2591</v>
      </c>
      <c r="B3684" s="8" t="s">
        <v>2592</v>
      </c>
      <c r="C3684" t="s">
        <v>7102</v>
      </c>
      <c r="D3684" s="8" t="s">
        <v>7103</v>
      </c>
    </row>
    <row r="3685" spans="1:4" x14ac:dyDescent="0.35">
      <c r="A3685" t="s">
        <v>2591</v>
      </c>
      <c r="B3685" s="8" t="s">
        <v>2592</v>
      </c>
      <c r="C3685" t="s">
        <v>6284</v>
      </c>
      <c r="D3685" s="8" t="s">
        <v>6285</v>
      </c>
    </row>
    <row r="3686" spans="1:4" x14ac:dyDescent="0.35">
      <c r="A3686" t="s">
        <v>2591</v>
      </c>
      <c r="B3686" s="8" t="s">
        <v>2592</v>
      </c>
      <c r="C3686" t="s">
        <v>6286</v>
      </c>
      <c r="D3686" s="8" t="s">
        <v>6287</v>
      </c>
    </row>
    <row r="3687" spans="1:4" x14ac:dyDescent="0.35">
      <c r="A3687" t="s">
        <v>2593</v>
      </c>
      <c r="B3687" s="8" t="s">
        <v>2594</v>
      </c>
      <c r="C3687" t="s">
        <v>6243</v>
      </c>
      <c r="D3687" s="8" t="s">
        <v>6244</v>
      </c>
    </row>
    <row r="3688" spans="1:4" x14ac:dyDescent="0.35">
      <c r="A3688" t="s">
        <v>2593</v>
      </c>
      <c r="B3688" s="8" t="s">
        <v>2594</v>
      </c>
      <c r="C3688" t="s">
        <v>7102</v>
      </c>
      <c r="D3688" s="8" t="s">
        <v>7103</v>
      </c>
    </row>
    <row r="3689" spans="1:4" x14ac:dyDescent="0.35">
      <c r="A3689" t="s">
        <v>2593</v>
      </c>
      <c r="B3689" s="8" t="s">
        <v>2594</v>
      </c>
      <c r="C3689" t="s">
        <v>6908</v>
      </c>
      <c r="D3689" s="8" t="s">
        <v>6909</v>
      </c>
    </row>
    <row r="3690" spans="1:4" x14ac:dyDescent="0.35">
      <c r="A3690" t="s">
        <v>2593</v>
      </c>
      <c r="B3690" s="8" t="s">
        <v>2594</v>
      </c>
      <c r="C3690" t="s">
        <v>6910</v>
      </c>
      <c r="D3690" s="8" t="s">
        <v>6911</v>
      </c>
    </row>
    <row r="3691" spans="1:4" x14ac:dyDescent="0.35">
      <c r="A3691" t="s">
        <v>2593</v>
      </c>
      <c r="B3691" s="8" t="s">
        <v>2594</v>
      </c>
      <c r="C3691" t="s">
        <v>7105</v>
      </c>
      <c r="D3691" s="8" t="s">
        <v>7106</v>
      </c>
    </row>
    <row r="3692" spans="1:4" x14ac:dyDescent="0.35">
      <c r="A3692" t="s">
        <v>7116</v>
      </c>
      <c r="B3692" s="8" t="s">
        <v>2597</v>
      </c>
      <c r="C3692" t="s">
        <v>6243</v>
      </c>
      <c r="D3692" s="8" t="s">
        <v>6244</v>
      </c>
    </row>
    <row r="3693" spans="1:4" x14ac:dyDescent="0.35">
      <c r="A3693" t="s">
        <v>7116</v>
      </c>
      <c r="B3693" s="8" t="s">
        <v>2597</v>
      </c>
      <c r="C3693" t="s">
        <v>6908</v>
      </c>
      <c r="D3693" s="8" t="s">
        <v>6909</v>
      </c>
    </row>
    <row r="3694" spans="1:4" x14ac:dyDescent="0.35">
      <c r="A3694" t="s">
        <v>7116</v>
      </c>
      <c r="B3694" s="8" t="s">
        <v>2597</v>
      </c>
      <c r="C3694" t="s">
        <v>6927</v>
      </c>
      <c r="D3694" s="8" t="s">
        <v>6928</v>
      </c>
    </row>
    <row r="3695" spans="1:4" x14ac:dyDescent="0.35">
      <c r="A3695" t="s">
        <v>7116</v>
      </c>
      <c r="B3695" s="8" t="s">
        <v>2597</v>
      </c>
      <c r="C3695" t="s">
        <v>6910</v>
      </c>
      <c r="D3695" s="8" t="s">
        <v>6911</v>
      </c>
    </row>
    <row r="3696" spans="1:4" x14ac:dyDescent="0.35">
      <c r="A3696" t="s">
        <v>7116</v>
      </c>
      <c r="B3696" s="8" t="s">
        <v>2597</v>
      </c>
      <c r="C3696" t="s">
        <v>6598</v>
      </c>
      <c r="D3696" s="8" t="s">
        <v>6599</v>
      </c>
    </row>
    <row r="3697" spans="1:4" x14ac:dyDescent="0.35">
      <c r="A3697" t="s">
        <v>2598</v>
      </c>
      <c r="B3697" s="8" t="s">
        <v>2531</v>
      </c>
      <c r="C3697" t="s">
        <v>6243</v>
      </c>
      <c r="D3697" s="8" t="s">
        <v>6244</v>
      </c>
    </row>
    <row r="3698" spans="1:4" x14ac:dyDescent="0.35">
      <c r="A3698" t="s">
        <v>2598</v>
      </c>
      <c r="B3698" s="8" t="s">
        <v>2531</v>
      </c>
      <c r="C3698" t="s">
        <v>6268</v>
      </c>
      <c r="D3698" s="8" t="s">
        <v>6269</v>
      </c>
    </row>
    <row r="3699" spans="1:4" x14ac:dyDescent="0.35">
      <c r="A3699" t="s">
        <v>2598</v>
      </c>
      <c r="B3699" s="8" t="s">
        <v>2531</v>
      </c>
      <c r="C3699" t="s">
        <v>6286</v>
      </c>
      <c r="D3699" s="8" t="s">
        <v>6287</v>
      </c>
    </row>
    <row r="3700" spans="1:4" x14ac:dyDescent="0.35">
      <c r="A3700" t="s">
        <v>2599</v>
      </c>
      <c r="B3700" s="8" t="s">
        <v>2600</v>
      </c>
      <c r="C3700" t="s">
        <v>7117</v>
      </c>
      <c r="D3700" s="8" t="s">
        <v>7118</v>
      </c>
    </row>
    <row r="3701" spans="1:4" x14ac:dyDescent="0.35">
      <c r="A3701" t="s">
        <v>2601</v>
      </c>
      <c r="B3701" s="8" t="s">
        <v>2602</v>
      </c>
      <c r="C3701" t="s">
        <v>7117</v>
      </c>
      <c r="D3701" s="8" t="s">
        <v>7118</v>
      </c>
    </row>
    <row r="3702" spans="1:4" x14ac:dyDescent="0.35">
      <c r="A3702" t="s">
        <v>2601</v>
      </c>
      <c r="B3702" s="8" t="s">
        <v>2602</v>
      </c>
      <c r="C3702" t="s">
        <v>7119</v>
      </c>
      <c r="D3702" s="8" t="s">
        <v>7120</v>
      </c>
    </row>
    <row r="3703" spans="1:4" x14ac:dyDescent="0.35">
      <c r="A3703" t="s">
        <v>2601</v>
      </c>
      <c r="B3703" s="8" t="s">
        <v>2602</v>
      </c>
      <c r="C3703" t="s">
        <v>7121</v>
      </c>
      <c r="D3703" s="8" t="s">
        <v>7122</v>
      </c>
    </row>
    <row r="3704" spans="1:4" x14ac:dyDescent="0.35">
      <c r="A3704" t="s">
        <v>2601</v>
      </c>
      <c r="B3704" s="8" t="s">
        <v>2602</v>
      </c>
      <c r="C3704" t="s">
        <v>7123</v>
      </c>
      <c r="D3704" s="8" t="s">
        <v>7124</v>
      </c>
    </row>
    <row r="3705" spans="1:4" x14ac:dyDescent="0.35">
      <c r="A3705" t="s">
        <v>2603</v>
      </c>
      <c r="B3705" s="8" t="s">
        <v>2604</v>
      </c>
      <c r="C3705" t="s">
        <v>7117</v>
      </c>
      <c r="D3705" s="8" t="s">
        <v>7118</v>
      </c>
    </row>
    <row r="3706" spans="1:4" x14ac:dyDescent="0.35">
      <c r="A3706" t="s">
        <v>2603</v>
      </c>
      <c r="B3706" s="8" t="s">
        <v>2604</v>
      </c>
      <c r="C3706" t="s">
        <v>7125</v>
      </c>
      <c r="D3706" s="8" t="s">
        <v>7126</v>
      </c>
    </row>
    <row r="3707" spans="1:4" x14ac:dyDescent="0.35">
      <c r="A3707" t="s">
        <v>2605</v>
      </c>
      <c r="B3707" s="8" t="s">
        <v>2606</v>
      </c>
      <c r="C3707" t="s">
        <v>7127</v>
      </c>
      <c r="D3707" s="8" t="s">
        <v>7128</v>
      </c>
    </row>
    <row r="3708" spans="1:4" x14ac:dyDescent="0.35">
      <c r="A3708" t="s">
        <v>2605</v>
      </c>
      <c r="B3708" s="8" t="s">
        <v>2606</v>
      </c>
      <c r="C3708" t="s">
        <v>6687</v>
      </c>
      <c r="D3708" s="8" t="s">
        <v>6688</v>
      </c>
    </row>
    <row r="3709" spans="1:4" x14ac:dyDescent="0.35">
      <c r="A3709" t="s">
        <v>2605</v>
      </c>
      <c r="B3709" s="8" t="s">
        <v>2606</v>
      </c>
      <c r="C3709" t="s">
        <v>7129</v>
      </c>
      <c r="D3709" s="8" t="s">
        <v>7130</v>
      </c>
    </row>
    <row r="3710" spans="1:4" x14ac:dyDescent="0.35">
      <c r="A3710" t="s">
        <v>2607</v>
      </c>
      <c r="B3710" s="8" t="s">
        <v>2608</v>
      </c>
      <c r="C3710" t="s">
        <v>7117</v>
      </c>
      <c r="D3710" s="8" t="s">
        <v>7118</v>
      </c>
    </row>
    <row r="3711" spans="1:4" x14ac:dyDescent="0.35">
      <c r="A3711" t="s">
        <v>2607</v>
      </c>
      <c r="B3711" s="8" t="s">
        <v>2608</v>
      </c>
      <c r="C3711" t="s">
        <v>7131</v>
      </c>
      <c r="D3711" s="8" t="s">
        <v>7132</v>
      </c>
    </row>
    <row r="3712" spans="1:4" x14ac:dyDescent="0.35">
      <c r="A3712" t="s">
        <v>2607</v>
      </c>
      <c r="B3712" s="8" t="s">
        <v>2608</v>
      </c>
      <c r="C3712" t="s">
        <v>7133</v>
      </c>
      <c r="D3712" s="8" t="s">
        <v>7134</v>
      </c>
    </row>
    <row r="3713" spans="1:4" x14ac:dyDescent="0.35">
      <c r="A3713" t="s">
        <v>2607</v>
      </c>
      <c r="B3713" s="8" t="s">
        <v>2608</v>
      </c>
      <c r="C3713" t="s">
        <v>7135</v>
      </c>
      <c r="D3713" s="8" t="s">
        <v>7136</v>
      </c>
    </row>
    <row r="3714" spans="1:4" x14ac:dyDescent="0.35">
      <c r="A3714" t="s">
        <v>2609</v>
      </c>
      <c r="B3714" s="8" t="s">
        <v>2610</v>
      </c>
      <c r="C3714" t="s">
        <v>7127</v>
      </c>
      <c r="D3714" s="8" t="s">
        <v>7128</v>
      </c>
    </row>
    <row r="3715" spans="1:4" x14ac:dyDescent="0.35">
      <c r="A3715" t="s">
        <v>2609</v>
      </c>
      <c r="B3715" s="8" t="s">
        <v>2610</v>
      </c>
      <c r="C3715" t="s">
        <v>7129</v>
      </c>
      <c r="D3715" s="8" t="s">
        <v>7130</v>
      </c>
    </row>
    <row r="3716" spans="1:4" x14ac:dyDescent="0.35">
      <c r="A3716" t="s">
        <v>2611</v>
      </c>
      <c r="B3716" s="8" t="s">
        <v>2612</v>
      </c>
      <c r="C3716" t="s">
        <v>7129</v>
      </c>
      <c r="D3716" s="8" t="s">
        <v>7130</v>
      </c>
    </row>
    <row r="3717" spans="1:4" x14ac:dyDescent="0.35">
      <c r="A3717" t="s">
        <v>2613</v>
      </c>
      <c r="B3717" s="8" t="s">
        <v>2614</v>
      </c>
      <c r="C3717" t="s">
        <v>6740</v>
      </c>
      <c r="D3717" s="8" t="s">
        <v>6741</v>
      </c>
    </row>
    <row r="3718" spans="1:4" x14ac:dyDescent="0.35">
      <c r="A3718" t="s">
        <v>2613</v>
      </c>
      <c r="B3718" s="8" t="s">
        <v>2614</v>
      </c>
      <c r="C3718" t="s">
        <v>7137</v>
      </c>
      <c r="D3718" s="8" t="s">
        <v>7138</v>
      </c>
    </row>
    <row r="3719" spans="1:4" x14ac:dyDescent="0.35">
      <c r="A3719" t="s">
        <v>2613</v>
      </c>
      <c r="B3719" s="8" t="s">
        <v>2614</v>
      </c>
      <c r="C3719" t="s">
        <v>7117</v>
      </c>
      <c r="D3719" s="8" t="s">
        <v>7118</v>
      </c>
    </row>
    <row r="3720" spans="1:4" x14ac:dyDescent="0.35">
      <c r="A3720" t="s">
        <v>2613</v>
      </c>
      <c r="B3720" s="8" t="s">
        <v>2614</v>
      </c>
      <c r="C3720" t="s">
        <v>7139</v>
      </c>
      <c r="D3720" s="8" t="s">
        <v>7140</v>
      </c>
    </row>
    <row r="3721" spans="1:4" x14ac:dyDescent="0.35">
      <c r="A3721" t="s">
        <v>2615</v>
      </c>
      <c r="B3721" s="8" t="s">
        <v>2616</v>
      </c>
      <c r="C3721" t="s">
        <v>7117</v>
      </c>
      <c r="D3721" s="8" t="s">
        <v>7118</v>
      </c>
    </row>
    <row r="3722" spans="1:4" x14ac:dyDescent="0.35">
      <c r="A3722" t="s">
        <v>2615</v>
      </c>
      <c r="B3722" s="8" t="s">
        <v>2616</v>
      </c>
      <c r="C3722" t="s">
        <v>7141</v>
      </c>
      <c r="D3722" s="8" t="s">
        <v>7142</v>
      </c>
    </row>
    <row r="3723" spans="1:4" x14ac:dyDescent="0.35">
      <c r="A3723" t="s">
        <v>2617</v>
      </c>
      <c r="B3723" s="8" t="s">
        <v>2618</v>
      </c>
      <c r="C3723" t="s">
        <v>7117</v>
      </c>
      <c r="D3723" s="8" t="s">
        <v>7118</v>
      </c>
    </row>
    <row r="3724" spans="1:4" x14ac:dyDescent="0.35">
      <c r="A3724" t="s">
        <v>2617</v>
      </c>
      <c r="B3724" s="8" t="s">
        <v>2618</v>
      </c>
      <c r="C3724" t="s">
        <v>7143</v>
      </c>
      <c r="D3724" s="8" t="s">
        <v>7144</v>
      </c>
    </row>
    <row r="3725" spans="1:4" x14ac:dyDescent="0.35">
      <c r="A3725" t="s">
        <v>2619</v>
      </c>
      <c r="B3725" s="8" t="s">
        <v>2620</v>
      </c>
      <c r="C3725" t="s">
        <v>7117</v>
      </c>
      <c r="D3725" s="8" t="s">
        <v>7118</v>
      </c>
    </row>
    <row r="3726" spans="1:4" x14ac:dyDescent="0.35">
      <c r="A3726" t="s">
        <v>2619</v>
      </c>
      <c r="B3726" s="8" t="s">
        <v>2620</v>
      </c>
      <c r="C3726" t="s">
        <v>7145</v>
      </c>
      <c r="D3726" s="8" t="s">
        <v>7146</v>
      </c>
    </row>
    <row r="3727" spans="1:4" x14ac:dyDescent="0.35">
      <c r="A3727" t="s">
        <v>2621</v>
      </c>
      <c r="B3727" s="8" t="s">
        <v>2622</v>
      </c>
      <c r="C3727" t="s">
        <v>7117</v>
      </c>
      <c r="D3727" s="8" t="s">
        <v>7118</v>
      </c>
    </row>
    <row r="3728" spans="1:4" x14ac:dyDescent="0.35">
      <c r="A3728" t="s">
        <v>2621</v>
      </c>
      <c r="B3728" s="8" t="s">
        <v>2622</v>
      </c>
      <c r="C3728" t="s">
        <v>7147</v>
      </c>
      <c r="D3728" s="8" t="s">
        <v>7148</v>
      </c>
    </row>
    <row r="3729" spans="1:4" x14ac:dyDescent="0.35">
      <c r="A3729" t="s">
        <v>2623</v>
      </c>
      <c r="B3729" s="8" t="s">
        <v>2624</v>
      </c>
      <c r="C3729" t="s">
        <v>7117</v>
      </c>
      <c r="D3729" s="8" t="s">
        <v>7118</v>
      </c>
    </row>
    <row r="3730" spans="1:4" x14ac:dyDescent="0.35">
      <c r="A3730" t="s">
        <v>2623</v>
      </c>
      <c r="B3730" s="8" t="s">
        <v>2624</v>
      </c>
      <c r="C3730" t="s">
        <v>7149</v>
      </c>
      <c r="D3730" s="8" t="s">
        <v>7150</v>
      </c>
    </row>
    <row r="3731" spans="1:4" x14ac:dyDescent="0.35">
      <c r="A3731" t="s">
        <v>2623</v>
      </c>
      <c r="B3731" s="8" t="s">
        <v>2624</v>
      </c>
      <c r="C3731" t="s">
        <v>7151</v>
      </c>
      <c r="D3731" s="8" t="s">
        <v>7152</v>
      </c>
    </row>
    <row r="3732" spans="1:4" x14ac:dyDescent="0.35">
      <c r="A3732" t="s">
        <v>2625</v>
      </c>
      <c r="B3732" s="8" t="s">
        <v>2626</v>
      </c>
      <c r="C3732" t="s">
        <v>7117</v>
      </c>
      <c r="D3732" s="8" t="s">
        <v>7118</v>
      </c>
    </row>
    <row r="3733" spans="1:4" x14ac:dyDescent="0.35">
      <c r="A3733" t="s">
        <v>2625</v>
      </c>
      <c r="B3733" s="8" t="s">
        <v>2626</v>
      </c>
      <c r="C3733" t="s">
        <v>7153</v>
      </c>
      <c r="D3733" s="8" t="s">
        <v>7154</v>
      </c>
    </row>
    <row r="3734" spans="1:4" x14ac:dyDescent="0.35">
      <c r="A3734" t="s">
        <v>2625</v>
      </c>
      <c r="B3734" s="8" t="s">
        <v>2626</v>
      </c>
      <c r="C3734" t="s">
        <v>6749</v>
      </c>
      <c r="D3734" s="8" t="s">
        <v>6750</v>
      </c>
    </row>
    <row r="3735" spans="1:4" x14ac:dyDescent="0.35">
      <c r="A3735" t="s">
        <v>2627</v>
      </c>
      <c r="B3735" s="8" t="s">
        <v>2628</v>
      </c>
      <c r="C3735" t="s">
        <v>7155</v>
      </c>
      <c r="D3735" s="8" t="s">
        <v>7156</v>
      </c>
    </row>
    <row r="3736" spans="1:4" x14ac:dyDescent="0.35">
      <c r="A3736" t="s">
        <v>2629</v>
      </c>
      <c r="B3736" s="8" t="s">
        <v>2630</v>
      </c>
      <c r="C3736" t="s">
        <v>6740</v>
      </c>
      <c r="D3736" s="8" t="s">
        <v>6741</v>
      </c>
    </row>
    <row r="3737" spans="1:4" x14ac:dyDescent="0.35">
      <c r="A3737" t="s">
        <v>2629</v>
      </c>
      <c r="B3737" s="8" t="s">
        <v>2630</v>
      </c>
      <c r="C3737" t="s">
        <v>7117</v>
      </c>
      <c r="D3737" s="8" t="s">
        <v>7118</v>
      </c>
    </row>
    <row r="3738" spans="1:4" x14ac:dyDescent="0.35">
      <c r="A3738" t="s">
        <v>2629</v>
      </c>
      <c r="B3738" s="8" t="s">
        <v>2630</v>
      </c>
      <c r="C3738" t="s">
        <v>7157</v>
      </c>
      <c r="D3738" s="8" t="s">
        <v>7158</v>
      </c>
    </row>
    <row r="3739" spans="1:4" x14ac:dyDescent="0.35">
      <c r="A3739" t="s">
        <v>2631</v>
      </c>
      <c r="B3739" s="8" t="s">
        <v>2632</v>
      </c>
      <c r="C3739" t="s">
        <v>7117</v>
      </c>
      <c r="D3739" s="8" t="s">
        <v>7118</v>
      </c>
    </row>
    <row r="3740" spans="1:4" x14ac:dyDescent="0.35">
      <c r="A3740" t="s">
        <v>2631</v>
      </c>
      <c r="B3740" s="8" t="s">
        <v>2632</v>
      </c>
      <c r="C3740" t="s">
        <v>7159</v>
      </c>
      <c r="D3740" s="8" t="s">
        <v>7160</v>
      </c>
    </row>
    <row r="3741" spans="1:4" x14ac:dyDescent="0.35">
      <c r="A3741" t="s">
        <v>2631</v>
      </c>
      <c r="B3741" s="8" t="s">
        <v>2632</v>
      </c>
      <c r="C3741" t="s">
        <v>7161</v>
      </c>
      <c r="D3741" s="8" t="s">
        <v>7162</v>
      </c>
    </row>
    <row r="3742" spans="1:4" x14ac:dyDescent="0.35">
      <c r="A3742" t="s">
        <v>2631</v>
      </c>
      <c r="B3742" s="8" t="s">
        <v>2632</v>
      </c>
      <c r="C3742" t="s">
        <v>7163</v>
      </c>
      <c r="D3742" s="8" t="s">
        <v>7164</v>
      </c>
    </row>
    <row r="3743" spans="1:4" x14ac:dyDescent="0.35">
      <c r="A3743" t="s">
        <v>2631</v>
      </c>
      <c r="B3743" s="8" t="s">
        <v>2632</v>
      </c>
      <c r="C3743" t="s">
        <v>7123</v>
      </c>
      <c r="D3743" s="8" t="s">
        <v>7124</v>
      </c>
    </row>
    <row r="3744" spans="1:4" x14ac:dyDescent="0.35">
      <c r="A3744" t="s">
        <v>2631</v>
      </c>
      <c r="B3744" s="8" t="s">
        <v>2632</v>
      </c>
      <c r="C3744" t="s">
        <v>7165</v>
      </c>
      <c r="D3744" s="8" t="s">
        <v>7166</v>
      </c>
    </row>
    <row r="3745" spans="1:4" x14ac:dyDescent="0.35">
      <c r="A3745" t="s">
        <v>2633</v>
      </c>
      <c r="B3745" s="8" t="s">
        <v>2634</v>
      </c>
      <c r="C3745" t="s">
        <v>7117</v>
      </c>
      <c r="D3745" s="8" t="s">
        <v>7118</v>
      </c>
    </row>
    <row r="3746" spans="1:4" x14ac:dyDescent="0.35">
      <c r="A3746" t="s">
        <v>2633</v>
      </c>
      <c r="B3746" s="8" t="s">
        <v>2634</v>
      </c>
      <c r="C3746" t="s">
        <v>7167</v>
      </c>
      <c r="D3746" s="8" t="s">
        <v>7168</v>
      </c>
    </row>
    <row r="3747" spans="1:4" x14ac:dyDescent="0.35">
      <c r="A3747" t="s">
        <v>2633</v>
      </c>
      <c r="B3747" s="8" t="s">
        <v>2634</v>
      </c>
      <c r="C3747" t="s">
        <v>7169</v>
      </c>
      <c r="D3747" s="8" t="s">
        <v>7170</v>
      </c>
    </row>
    <row r="3748" spans="1:4" x14ac:dyDescent="0.35">
      <c r="A3748" t="s">
        <v>2635</v>
      </c>
      <c r="B3748" s="8" t="s">
        <v>2637</v>
      </c>
      <c r="C3748" t="s">
        <v>6670</v>
      </c>
      <c r="D3748" s="8" t="s">
        <v>6671</v>
      </c>
    </row>
    <row r="3749" spans="1:4" x14ac:dyDescent="0.35">
      <c r="A3749" t="s">
        <v>2635</v>
      </c>
      <c r="B3749" s="8" t="s">
        <v>2637</v>
      </c>
      <c r="C3749" t="s">
        <v>7117</v>
      </c>
      <c r="D3749" s="8" t="s">
        <v>7118</v>
      </c>
    </row>
    <row r="3750" spans="1:4" x14ac:dyDescent="0.35">
      <c r="A3750" t="s">
        <v>2638</v>
      </c>
      <c r="B3750" s="8" t="s">
        <v>2639</v>
      </c>
      <c r="C3750" t="s">
        <v>6163</v>
      </c>
      <c r="D3750" s="8" t="s">
        <v>6164</v>
      </c>
    </row>
    <row r="3751" spans="1:4" x14ac:dyDescent="0.35">
      <c r="A3751" t="s">
        <v>2640</v>
      </c>
      <c r="B3751" s="8" t="s">
        <v>2641</v>
      </c>
      <c r="C3751" t="s">
        <v>7117</v>
      </c>
      <c r="D3751" s="8" t="s">
        <v>7118</v>
      </c>
    </row>
    <row r="3752" spans="1:4" x14ac:dyDescent="0.35">
      <c r="A3752" t="s">
        <v>2640</v>
      </c>
      <c r="B3752" s="8" t="s">
        <v>2641</v>
      </c>
      <c r="C3752" t="s">
        <v>7171</v>
      </c>
      <c r="D3752" s="8" t="s">
        <v>7172</v>
      </c>
    </row>
    <row r="3753" spans="1:4" x14ac:dyDescent="0.35">
      <c r="A3753" t="s">
        <v>2642</v>
      </c>
      <c r="B3753" s="8" t="s">
        <v>2643</v>
      </c>
      <c r="C3753" t="s">
        <v>7117</v>
      </c>
      <c r="D3753" s="8" t="s">
        <v>7118</v>
      </c>
    </row>
    <row r="3754" spans="1:4" x14ac:dyDescent="0.35">
      <c r="A3754" t="s">
        <v>2642</v>
      </c>
      <c r="B3754" s="8" t="s">
        <v>2643</v>
      </c>
      <c r="C3754" t="s">
        <v>7171</v>
      </c>
      <c r="D3754" s="8" t="s">
        <v>7172</v>
      </c>
    </row>
    <row r="3755" spans="1:4" x14ac:dyDescent="0.35">
      <c r="A3755" t="s">
        <v>2642</v>
      </c>
      <c r="B3755" s="8" t="s">
        <v>2643</v>
      </c>
      <c r="C3755" t="s">
        <v>7173</v>
      </c>
      <c r="D3755" s="8" t="s">
        <v>7174</v>
      </c>
    </row>
    <row r="3756" spans="1:4" x14ac:dyDescent="0.35">
      <c r="A3756" t="s">
        <v>2644</v>
      </c>
      <c r="B3756" s="8" t="s">
        <v>2645</v>
      </c>
      <c r="C3756" t="s">
        <v>7117</v>
      </c>
      <c r="D3756" s="8" t="s">
        <v>7118</v>
      </c>
    </row>
    <row r="3757" spans="1:4" x14ac:dyDescent="0.35">
      <c r="A3757" t="s">
        <v>2644</v>
      </c>
      <c r="B3757" s="8" t="s">
        <v>2645</v>
      </c>
      <c r="C3757" t="s">
        <v>7175</v>
      </c>
      <c r="D3757" s="8" t="s">
        <v>7176</v>
      </c>
    </row>
    <row r="3758" spans="1:4" x14ac:dyDescent="0.35">
      <c r="A3758" t="s">
        <v>2644</v>
      </c>
      <c r="B3758" s="8" t="s">
        <v>2645</v>
      </c>
      <c r="C3758" t="s">
        <v>7177</v>
      </c>
      <c r="D3758" s="8" t="s">
        <v>7178</v>
      </c>
    </row>
    <row r="3759" spans="1:4" x14ac:dyDescent="0.35">
      <c r="A3759" t="s">
        <v>2644</v>
      </c>
      <c r="B3759" s="8" t="s">
        <v>2645</v>
      </c>
      <c r="C3759" t="s">
        <v>7179</v>
      </c>
      <c r="D3759" s="8" t="s">
        <v>7180</v>
      </c>
    </row>
    <row r="3760" spans="1:4" x14ac:dyDescent="0.35">
      <c r="A3760" t="s">
        <v>2644</v>
      </c>
      <c r="B3760" s="8" t="s">
        <v>2645</v>
      </c>
      <c r="C3760" t="s">
        <v>7181</v>
      </c>
      <c r="D3760" s="8" t="s">
        <v>7182</v>
      </c>
    </row>
    <row r="3761" spans="1:4" x14ac:dyDescent="0.35">
      <c r="A3761" t="s">
        <v>2646</v>
      </c>
      <c r="B3761" s="8" t="s">
        <v>2647</v>
      </c>
      <c r="C3761" t="s">
        <v>7117</v>
      </c>
      <c r="D3761" s="8" t="s">
        <v>7118</v>
      </c>
    </row>
    <row r="3762" spans="1:4" x14ac:dyDescent="0.35">
      <c r="A3762" t="s">
        <v>2646</v>
      </c>
      <c r="B3762" s="8" t="s">
        <v>2647</v>
      </c>
      <c r="C3762" t="s">
        <v>7181</v>
      </c>
      <c r="D3762" s="8" t="s">
        <v>7182</v>
      </c>
    </row>
    <row r="3763" spans="1:4" x14ac:dyDescent="0.35">
      <c r="A3763" t="s">
        <v>2648</v>
      </c>
      <c r="B3763" s="8" t="s">
        <v>2649</v>
      </c>
      <c r="C3763" t="s">
        <v>7171</v>
      </c>
      <c r="D3763" s="8" t="s">
        <v>7172</v>
      </c>
    </row>
    <row r="3764" spans="1:4" x14ac:dyDescent="0.35">
      <c r="A3764" t="s">
        <v>2650</v>
      </c>
      <c r="B3764" s="8" t="s">
        <v>2651</v>
      </c>
      <c r="C3764" t="s">
        <v>6163</v>
      </c>
      <c r="D3764" s="8" t="s">
        <v>6164</v>
      </c>
    </row>
    <row r="3765" spans="1:4" x14ac:dyDescent="0.35">
      <c r="A3765" t="s">
        <v>2652</v>
      </c>
      <c r="B3765" s="8" t="s">
        <v>2653</v>
      </c>
      <c r="C3765" t="s">
        <v>7127</v>
      </c>
      <c r="D3765" s="8" t="s">
        <v>7128</v>
      </c>
    </row>
    <row r="3766" spans="1:4" x14ac:dyDescent="0.35">
      <c r="A3766" t="s">
        <v>2652</v>
      </c>
      <c r="B3766" s="8" t="s">
        <v>2653</v>
      </c>
      <c r="C3766" t="s">
        <v>7183</v>
      </c>
      <c r="D3766" s="8" t="s">
        <v>7184</v>
      </c>
    </row>
    <row r="3767" spans="1:4" ht="29" x14ac:dyDescent="0.35">
      <c r="A3767" t="s">
        <v>2654</v>
      </c>
      <c r="B3767" s="8" t="s">
        <v>2656</v>
      </c>
      <c r="C3767" t="s">
        <v>7185</v>
      </c>
      <c r="D3767" s="8" t="s">
        <v>7186</v>
      </c>
    </row>
    <row r="3768" spans="1:4" ht="29" x14ac:dyDescent="0.35">
      <c r="A3768" t="s">
        <v>2654</v>
      </c>
      <c r="B3768" s="8" t="s">
        <v>2656</v>
      </c>
      <c r="C3768" t="s">
        <v>7183</v>
      </c>
      <c r="D3768" s="8" t="s">
        <v>7184</v>
      </c>
    </row>
    <row r="3769" spans="1:4" x14ac:dyDescent="0.35">
      <c r="A3769" t="s">
        <v>2657</v>
      </c>
      <c r="B3769" s="8" t="s">
        <v>2658</v>
      </c>
      <c r="C3769" t="s">
        <v>7187</v>
      </c>
      <c r="D3769" s="8" t="s">
        <v>7188</v>
      </c>
    </row>
    <row r="3770" spans="1:4" x14ac:dyDescent="0.35">
      <c r="A3770" t="s">
        <v>2659</v>
      </c>
      <c r="B3770" s="8" t="s">
        <v>2661</v>
      </c>
      <c r="C3770" t="s">
        <v>7189</v>
      </c>
      <c r="D3770" s="8" t="s">
        <v>7190</v>
      </c>
    </row>
    <row r="3771" spans="1:4" x14ac:dyDescent="0.35">
      <c r="A3771" t="s">
        <v>2659</v>
      </c>
      <c r="B3771" s="8" t="s">
        <v>2661</v>
      </c>
      <c r="C3771" t="s">
        <v>7191</v>
      </c>
      <c r="D3771" s="8" t="s">
        <v>7192</v>
      </c>
    </row>
    <row r="3772" spans="1:4" x14ac:dyDescent="0.35">
      <c r="A3772" t="s">
        <v>2659</v>
      </c>
      <c r="B3772" s="8" t="s">
        <v>2661</v>
      </c>
      <c r="C3772" t="s">
        <v>7193</v>
      </c>
      <c r="D3772" s="8" t="s">
        <v>7194</v>
      </c>
    </row>
    <row r="3773" spans="1:4" x14ac:dyDescent="0.35">
      <c r="A3773" t="s">
        <v>2659</v>
      </c>
      <c r="B3773" s="8" t="s">
        <v>2661</v>
      </c>
      <c r="C3773" t="s">
        <v>7195</v>
      </c>
      <c r="D3773" s="8" t="s">
        <v>7196</v>
      </c>
    </row>
    <row r="3774" spans="1:4" x14ac:dyDescent="0.35">
      <c r="A3774" t="s">
        <v>2659</v>
      </c>
      <c r="B3774" s="8" t="s">
        <v>2661</v>
      </c>
      <c r="C3774" t="s">
        <v>7197</v>
      </c>
      <c r="D3774" s="8" t="s">
        <v>7198</v>
      </c>
    </row>
    <row r="3775" spans="1:4" x14ac:dyDescent="0.35">
      <c r="A3775" t="s">
        <v>2662</v>
      </c>
      <c r="B3775" s="8" t="s">
        <v>2663</v>
      </c>
      <c r="C3775" t="s">
        <v>7187</v>
      </c>
      <c r="D3775" s="8" t="s">
        <v>7188</v>
      </c>
    </row>
    <row r="3776" spans="1:4" x14ac:dyDescent="0.35">
      <c r="A3776" t="s">
        <v>2662</v>
      </c>
      <c r="B3776" s="8" t="s">
        <v>2663</v>
      </c>
      <c r="C3776" t="s">
        <v>7199</v>
      </c>
      <c r="D3776" s="8" t="s">
        <v>7200</v>
      </c>
    </row>
    <row r="3777" spans="1:4" x14ac:dyDescent="0.35">
      <c r="A3777" t="s">
        <v>2664</v>
      </c>
      <c r="B3777" s="8" t="s">
        <v>2665</v>
      </c>
      <c r="C3777" t="s">
        <v>7199</v>
      </c>
      <c r="D3777" s="8" t="s">
        <v>7200</v>
      </c>
    </row>
    <row r="3778" spans="1:4" x14ac:dyDescent="0.35">
      <c r="A3778" t="s">
        <v>2664</v>
      </c>
      <c r="B3778" s="8" t="s">
        <v>2665</v>
      </c>
      <c r="C3778" t="s">
        <v>6705</v>
      </c>
      <c r="D3778" s="8" t="s">
        <v>6706</v>
      </c>
    </row>
    <row r="3779" spans="1:4" x14ac:dyDescent="0.35">
      <c r="A3779" t="s">
        <v>2666</v>
      </c>
      <c r="B3779" s="8" t="s">
        <v>2667</v>
      </c>
      <c r="C3779" t="s">
        <v>7201</v>
      </c>
      <c r="D3779" s="8" t="s">
        <v>7202</v>
      </c>
    </row>
    <row r="3780" spans="1:4" x14ac:dyDescent="0.35">
      <c r="A3780" t="s">
        <v>2668</v>
      </c>
      <c r="B3780" s="8" t="s">
        <v>2669</v>
      </c>
      <c r="C3780" t="s">
        <v>7133</v>
      </c>
      <c r="D3780" s="8" t="s">
        <v>7134</v>
      </c>
    </row>
    <row r="3781" spans="1:4" x14ac:dyDescent="0.35">
      <c r="A3781" t="s">
        <v>2670</v>
      </c>
      <c r="B3781" s="8" t="s">
        <v>2672</v>
      </c>
      <c r="C3781" t="s">
        <v>6687</v>
      </c>
      <c r="D3781" s="8" t="s">
        <v>6688</v>
      </c>
    </row>
    <row r="3782" spans="1:4" ht="29" x14ac:dyDescent="0.35">
      <c r="A3782" t="s">
        <v>2673</v>
      </c>
      <c r="B3782" s="8" t="s">
        <v>2674</v>
      </c>
      <c r="C3782" t="s">
        <v>6695</v>
      </c>
      <c r="D3782" s="8" t="s">
        <v>6696</v>
      </c>
    </row>
    <row r="3783" spans="1:4" x14ac:dyDescent="0.35">
      <c r="A3783" t="s">
        <v>2675</v>
      </c>
      <c r="B3783" s="8" t="s">
        <v>2676</v>
      </c>
      <c r="C3783" t="s">
        <v>6141</v>
      </c>
      <c r="D3783" s="8" t="s">
        <v>6142</v>
      </c>
    </row>
    <row r="3784" spans="1:4" x14ac:dyDescent="0.35">
      <c r="A3784" t="s">
        <v>2675</v>
      </c>
      <c r="B3784" s="8" t="s">
        <v>2676</v>
      </c>
      <c r="C3784" t="s">
        <v>7203</v>
      </c>
      <c r="D3784" s="8" t="s">
        <v>7204</v>
      </c>
    </row>
    <row r="3785" spans="1:4" x14ac:dyDescent="0.35">
      <c r="A3785" t="s">
        <v>2675</v>
      </c>
      <c r="B3785" s="8" t="s">
        <v>2676</v>
      </c>
      <c r="C3785" t="s">
        <v>7205</v>
      </c>
      <c r="D3785" s="8" t="s">
        <v>7206</v>
      </c>
    </row>
    <row r="3786" spans="1:4" x14ac:dyDescent="0.35">
      <c r="A3786" t="s">
        <v>2677</v>
      </c>
      <c r="B3786" s="8" t="s">
        <v>2679</v>
      </c>
      <c r="C3786" t="s">
        <v>7207</v>
      </c>
      <c r="D3786" s="8" t="s">
        <v>7208</v>
      </c>
    </row>
    <row r="3787" spans="1:4" x14ac:dyDescent="0.35">
      <c r="A3787" t="s">
        <v>2677</v>
      </c>
      <c r="B3787" s="8" t="s">
        <v>2679</v>
      </c>
      <c r="C3787" t="s">
        <v>7205</v>
      </c>
      <c r="D3787" s="8" t="s">
        <v>7206</v>
      </c>
    </row>
    <row r="3788" spans="1:4" x14ac:dyDescent="0.35">
      <c r="A3788" t="s">
        <v>2677</v>
      </c>
      <c r="B3788" s="8" t="s">
        <v>2679</v>
      </c>
      <c r="C3788" t="s">
        <v>7209</v>
      </c>
      <c r="D3788" s="8" t="s">
        <v>7210</v>
      </c>
    </row>
    <row r="3789" spans="1:4" x14ac:dyDescent="0.35">
      <c r="A3789" t="s">
        <v>2677</v>
      </c>
      <c r="B3789" s="8" t="s">
        <v>2679</v>
      </c>
      <c r="C3789" t="s">
        <v>7211</v>
      </c>
      <c r="D3789" s="8" t="s">
        <v>7212</v>
      </c>
    </row>
    <row r="3790" spans="1:4" x14ac:dyDescent="0.35">
      <c r="A3790" t="s">
        <v>2677</v>
      </c>
      <c r="B3790" s="8" t="s">
        <v>2679</v>
      </c>
      <c r="C3790" t="s">
        <v>7213</v>
      </c>
      <c r="D3790" s="8" t="s">
        <v>7214</v>
      </c>
    </row>
    <row r="3791" spans="1:4" x14ac:dyDescent="0.35">
      <c r="A3791" t="s">
        <v>2677</v>
      </c>
      <c r="B3791" s="8" t="s">
        <v>2679</v>
      </c>
      <c r="C3791" t="s">
        <v>7215</v>
      </c>
      <c r="D3791" s="8" t="s">
        <v>7216</v>
      </c>
    </row>
    <row r="3792" spans="1:4" x14ac:dyDescent="0.35">
      <c r="A3792" t="s">
        <v>2677</v>
      </c>
      <c r="B3792" s="8" t="s">
        <v>2679</v>
      </c>
      <c r="C3792" t="s">
        <v>6752</v>
      </c>
      <c r="D3792" s="8" t="s">
        <v>6753</v>
      </c>
    </row>
    <row r="3793" spans="1:4" x14ac:dyDescent="0.35">
      <c r="A3793" t="s">
        <v>2680</v>
      </c>
      <c r="B3793" s="8" t="s">
        <v>2682</v>
      </c>
      <c r="C3793" t="s">
        <v>6163</v>
      </c>
      <c r="D3793" s="8" t="s">
        <v>6164</v>
      </c>
    </row>
    <row r="3794" spans="1:4" x14ac:dyDescent="0.35">
      <c r="A3794" t="s">
        <v>2683</v>
      </c>
      <c r="B3794" s="8" t="s">
        <v>2684</v>
      </c>
      <c r="C3794" t="s">
        <v>7183</v>
      </c>
      <c r="D3794" s="8" t="s">
        <v>7184</v>
      </c>
    </row>
    <row r="3795" spans="1:4" x14ac:dyDescent="0.35">
      <c r="A3795" t="s">
        <v>2685</v>
      </c>
      <c r="B3795" s="8" t="s">
        <v>2686</v>
      </c>
      <c r="C3795" t="s">
        <v>7217</v>
      </c>
      <c r="D3795" s="8" t="s">
        <v>7218</v>
      </c>
    </row>
    <row r="3796" spans="1:4" x14ac:dyDescent="0.35">
      <c r="A3796" t="s">
        <v>2687</v>
      </c>
      <c r="B3796" s="8" t="s">
        <v>2688</v>
      </c>
      <c r="C3796" t="s">
        <v>7219</v>
      </c>
      <c r="D3796" s="8" t="s">
        <v>7220</v>
      </c>
    </row>
    <row r="3797" spans="1:4" x14ac:dyDescent="0.35">
      <c r="A3797" t="s">
        <v>2689</v>
      </c>
      <c r="B3797" s="8" t="s">
        <v>2690</v>
      </c>
      <c r="C3797" t="s">
        <v>7221</v>
      </c>
      <c r="D3797" s="8" t="s">
        <v>7222</v>
      </c>
    </row>
    <row r="3798" spans="1:4" x14ac:dyDescent="0.35">
      <c r="A3798" t="s">
        <v>2689</v>
      </c>
      <c r="B3798" s="8" t="s">
        <v>2690</v>
      </c>
      <c r="C3798" t="s">
        <v>7223</v>
      </c>
      <c r="D3798" s="8" t="s">
        <v>7224</v>
      </c>
    </row>
    <row r="3799" spans="1:4" x14ac:dyDescent="0.35">
      <c r="A3799" t="s">
        <v>2689</v>
      </c>
      <c r="B3799" s="8" t="s">
        <v>2690</v>
      </c>
      <c r="C3799" t="s">
        <v>7225</v>
      </c>
      <c r="D3799" s="8" t="s">
        <v>7226</v>
      </c>
    </row>
    <row r="3800" spans="1:4" x14ac:dyDescent="0.35">
      <c r="A3800" t="s">
        <v>2691</v>
      </c>
      <c r="B3800" s="8" t="s">
        <v>2692</v>
      </c>
      <c r="C3800" t="s">
        <v>7183</v>
      </c>
      <c r="D3800" s="8" t="s">
        <v>7184</v>
      </c>
    </row>
    <row r="3801" spans="1:4" x14ac:dyDescent="0.35">
      <c r="A3801" t="s">
        <v>2693</v>
      </c>
      <c r="B3801" s="8" t="s">
        <v>2695</v>
      </c>
      <c r="C3801" t="s">
        <v>7227</v>
      </c>
      <c r="D3801" s="8" t="s">
        <v>7228</v>
      </c>
    </row>
    <row r="3802" spans="1:4" x14ac:dyDescent="0.35">
      <c r="A3802" t="s">
        <v>2693</v>
      </c>
      <c r="B3802" s="8" t="s">
        <v>2695</v>
      </c>
      <c r="C3802" t="s">
        <v>6692</v>
      </c>
      <c r="D3802" s="8" t="s">
        <v>6693</v>
      </c>
    </row>
    <row r="3803" spans="1:4" x14ac:dyDescent="0.35">
      <c r="A3803" t="s">
        <v>2696</v>
      </c>
      <c r="B3803" s="8" t="s">
        <v>2698</v>
      </c>
      <c r="C3803" t="s">
        <v>7127</v>
      </c>
      <c r="D3803" s="8" t="s">
        <v>7128</v>
      </c>
    </row>
    <row r="3804" spans="1:4" x14ac:dyDescent="0.35">
      <c r="A3804" t="s">
        <v>2696</v>
      </c>
      <c r="B3804" s="8" t="s">
        <v>2698</v>
      </c>
      <c r="C3804" t="s">
        <v>6719</v>
      </c>
      <c r="D3804" s="8" t="s">
        <v>6720</v>
      </c>
    </row>
    <row r="3805" spans="1:4" x14ac:dyDescent="0.35">
      <c r="A3805" t="s">
        <v>2699</v>
      </c>
      <c r="B3805" s="8" t="s">
        <v>2700</v>
      </c>
      <c r="C3805" t="s">
        <v>7229</v>
      </c>
      <c r="D3805" s="8" t="s">
        <v>7230</v>
      </c>
    </row>
    <row r="3806" spans="1:4" x14ac:dyDescent="0.35">
      <c r="A3806" t="s">
        <v>2699</v>
      </c>
      <c r="B3806" s="8" t="s">
        <v>2700</v>
      </c>
      <c r="C3806" t="s">
        <v>7231</v>
      </c>
      <c r="D3806" s="8" t="s">
        <v>7232</v>
      </c>
    </row>
    <row r="3807" spans="1:4" x14ac:dyDescent="0.35">
      <c r="A3807" t="s">
        <v>2699</v>
      </c>
      <c r="B3807" s="8" t="s">
        <v>2700</v>
      </c>
      <c r="C3807" t="s">
        <v>7233</v>
      </c>
      <c r="D3807" s="8" t="s">
        <v>7234</v>
      </c>
    </row>
    <row r="3808" spans="1:4" x14ac:dyDescent="0.35">
      <c r="A3808" t="s">
        <v>2699</v>
      </c>
      <c r="B3808" s="8" t="s">
        <v>2700</v>
      </c>
      <c r="C3808" t="s">
        <v>7235</v>
      </c>
      <c r="D3808" s="8" t="s">
        <v>7236</v>
      </c>
    </row>
    <row r="3809" spans="1:4" x14ac:dyDescent="0.35">
      <c r="A3809" t="s">
        <v>2701</v>
      </c>
      <c r="B3809" s="8" t="s">
        <v>2702</v>
      </c>
      <c r="C3809" t="s">
        <v>7237</v>
      </c>
      <c r="D3809" s="8" t="s">
        <v>7238</v>
      </c>
    </row>
    <row r="3810" spans="1:4" x14ac:dyDescent="0.35">
      <c r="A3810" t="s">
        <v>2701</v>
      </c>
      <c r="B3810" s="8" t="s">
        <v>2702</v>
      </c>
      <c r="C3810" t="s">
        <v>7239</v>
      </c>
      <c r="D3810" s="8" t="s">
        <v>7240</v>
      </c>
    </row>
    <row r="3811" spans="1:4" x14ac:dyDescent="0.35">
      <c r="A3811" t="s">
        <v>2701</v>
      </c>
      <c r="B3811" s="8" t="s">
        <v>2702</v>
      </c>
      <c r="C3811" t="s">
        <v>6719</v>
      </c>
      <c r="D3811" s="8" t="s">
        <v>6720</v>
      </c>
    </row>
    <row r="3812" spans="1:4" x14ac:dyDescent="0.35">
      <c r="A3812" t="s">
        <v>2703</v>
      </c>
      <c r="B3812" s="8" t="s">
        <v>2704</v>
      </c>
      <c r="C3812" t="s">
        <v>7241</v>
      </c>
      <c r="D3812" s="8" t="s">
        <v>7242</v>
      </c>
    </row>
    <row r="3813" spans="1:4" x14ac:dyDescent="0.35">
      <c r="A3813" t="s">
        <v>2705</v>
      </c>
      <c r="B3813" s="8" t="s">
        <v>2706</v>
      </c>
      <c r="C3813" t="s">
        <v>6722</v>
      </c>
      <c r="D3813" s="8" t="s">
        <v>6723</v>
      </c>
    </row>
    <row r="3814" spans="1:4" x14ac:dyDescent="0.35">
      <c r="A3814" t="s">
        <v>2705</v>
      </c>
      <c r="B3814" s="8" t="s">
        <v>2706</v>
      </c>
      <c r="C3814" t="s">
        <v>7243</v>
      </c>
      <c r="D3814" s="8" t="s">
        <v>7244</v>
      </c>
    </row>
    <row r="3815" spans="1:4" x14ac:dyDescent="0.35">
      <c r="A3815" t="s">
        <v>2707</v>
      </c>
      <c r="B3815" s="8" t="s">
        <v>2708</v>
      </c>
      <c r="C3815" t="s">
        <v>6139</v>
      </c>
      <c r="D3815" s="8" t="s">
        <v>6140</v>
      </c>
    </row>
    <row r="3816" spans="1:4" x14ac:dyDescent="0.35">
      <c r="A3816" t="s">
        <v>2707</v>
      </c>
      <c r="B3816" s="8" t="s">
        <v>2708</v>
      </c>
      <c r="C3816" t="s">
        <v>7245</v>
      </c>
      <c r="D3816" s="8" t="s">
        <v>7246</v>
      </c>
    </row>
    <row r="3817" spans="1:4" x14ac:dyDescent="0.35">
      <c r="A3817" t="s">
        <v>2709</v>
      </c>
      <c r="B3817" s="8" t="s">
        <v>2710</v>
      </c>
      <c r="C3817" t="s">
        <v>6139</v>
      </c>
      <c r="D3817" s="8" t="s">
        <v>6140</v>
      </c>
    </row>
    <row r="3818" spans="1:4" x14ac:dyDescent="0.35">
      <c r="A3818" t="s">
        <v>2709</v>
      </c>
      <c r="B3818" s="8" t="s">
        <v>2710</v>
      </c>
      <c r="C3818" t="s">
        <v>7245</v>
      </c>
      <c r="D3818" s="8" t="s">
        <v>7246</v>
      </c>
    </row>
    <row r="3819" spans="1:4" x14ac:dyDescent="0.35">
      <c r="A3819" t="s">
        <v>2711</v>
      </c>
      <c r="B3819" s="8" t="s">
        <v>2712</v>
      </c>
      <c r="C3819" t="s">
        <v>6615</v>
      </c>
      <c r="D3819" s="8" t="s">
        <v>6616</v>
      </c>
    </row>
    <row r="3820" spans="1:4" x14ac:dyDescent="0.35">
      <c r="A3820" t="s">
        <v>2711</v>
      </c>
      <c r="B3820" s="8" t="s">
        <v>2712</v>
      </c>
      <c r="C3820" t="s">
        <v>6618</v>
      </c>
      <c r="D3820" s="8" t="s">
        <v>6619</v>
      </c>
    </row>
    <row r="3821" spans="1:4" x14ac:dyDescent="0.35">
      <c r="A3821" t="s">
        <v>2711</v>
      </c>
      <c r="B3821" s="8" t="s">
        <v>2712</v>
      </c>
      <c r="C3821" t="s">
        <v>7245</v>
      </c>
      <c r="D3821" s="8" t="s">
        <v>7246</v>
      </c>
    </row>
    <row r="3822" spans="1:4" x14ac:dyDescent="0.35">
      <c r="A3822" t="s">
        <v>2713</v>
      </c>
      <c r="B3822" s="8" t="s">
        <v>2714</v>
      </c>
      <c r="C3822" t="s">
        <v>7247</v>
      </c>
      <c r="D3822" s="8" t="s">
        <v>7248</v>
      </c>
    </row>
    <row r="3823" spans="1:4" x14ac:dyDescent="0.35">
      <c r="A3823" t="s">
        <v>2715</v>
      </c>
      <c r="B3823" s="8" t="s">
        <v>2716</v>
      </c>
      <c r="C3823" t="s">
        <v>7249</v>
      </c>
      <c r="D3823" s="8" t="s">
        <v>7250</v>
      </c>
    </row>
    <row r="3824" spans="1:4" x14ac:dyDescent="0.35">
      <c r="A3824" t="s">
        <v>2717</v>
      </c>
      <c r="B3824" s="8" t="s">
        <v>2718</v>
      </c>
      <c r="C3824" t="s">
        <v>6719</v>
      </c>
      <c r="D3824" s="8" t="s">
        <v>6720</v>
      </c>
    </row>
    <row r="3825" spans="1:4" x14ac:dyDescent="0.35">
      <c r="A3825" t="s">
        <v>2719</v>
      </c>
      <c r="B3825" s="8" t="s">
        <v>2720</v>
      </c>
      <c r="C3825" t="s">
        <v>6719</v>
      </c>
      <c r="D3825" s="8" t="s">
        <v>6720</v>
      </c>
    </row>
    <row r="3826" spans="1:4" x14ac:dyDescent="0.35">
      <c r="A3826" t="s">
        <v>2719</v>
      </c>
      <c r="B3826" s="8" t="s">
        <v>2720</v>
      </c>
      <c r="C3826" t="s">
        <v>7241</v>
      </c>
      <c r="D3826" s="8" t="s">
        <v>7242</v>
      </c>
    </row>
    <row r="3827" spans="1:4" x14ac:dyDescent="0.35">
      <c r="A3827" t="s">
        <v>2721</v>
      </c>
      <c r="B3827" s="8" t="s">
        <v>2722</v>
      </c>
      <c r="C3827" t="s">
        <v>6719</v>
      </c>
      <c r="D3827" s="8" t="s">
        <v>6720</v>
      </c>
    </row>
    <row r="3828" spans="1:4" x14ac:dyDescent="0.35">
      <c r="A3828" t="s">
        <v>2723</v>
      </c>
      <c r="B3828" s="8" t="s">
        <v>2724</v>
      </c>
      <c r="C3828" t="s">
        <v>7251</v>
      </c>
      <c r="D3828" s="8" t="s">
        <v>7252</v>
      </c>
    </row>
    <row r="3829" spans="1:4" x14ac:dyDescent="0.35">
      <c r="A3829" t="s">
        <v>2725</v>
      </c>
      <c r="B3829" s="8" t="s">
        <v>2726</v>
      </c>
      <c r="C3829" t="s">
        <v>6722</v>
      </c>
      <c r="D3829" s="8" t="s">
        <v>6723</v>
      </c>
    </row>
    <row r="3830" spans="1:4" x14ac:dyDescent="0.35">
      <c r="A3830" t="s">
        <v>2727</v>
      </c>
      <c r="B3830" s="8" t="s">
        <v>2728</v>
      </c>
      <c r="C3830" t="s">
        <v>7127</v>
      </c>
      <c r="D3830" s="8" t="s">
        <v>7128</v>
      </c>
    </row>
    <row r="3831" spans="1:4" x14ac:dyDescent="0.35">
      <c r="A3831" t="s">
        <v>2727</v>
      </c>
      <c r="B3831" s="8" t="s">
        <v>2728</v>
      </c>
      <c r="C3831" t="s">
        <v>6719</v>
      </c>
      <c r="D3831" s="8" t="s">
        <v>6720</v>
      </c>
    </row>
    <row r="3832" spans="1:4" x14ac:dyDescent="0.35">
      <c r="A3832" t="s">
        <v>2729</v>
      </c>
      <c r="B3832" s="8" t="s">
        <v>2730</v>
      </c>
      <c r="C3832" t="s">
        <v>7127</v>
      </c>
      <c r="D3832" s="8" t="s">
        <v>7128</v>
      </c>
    </row>
    <row r="3833" spans="1:4" x14ac:dyDescent="0.35">
      <c r="A3833" t="s">
        <v>2729</v>
      </c>
      <c r="B3833" s="8" t="s">
        <v>2730</v>
      </c>
      <c r="C3833" t="s">
        <v>7253</v>
      </c>
      <c r="D3833" s="8" t="s">
        <v>7254</v>
      </c>
    </row>
    <row r="3834" spans="1:4" x14ac:dyDescent="0.35">
      <c r="A3834" t="s">
        <v>2731</v>
      </c>
      <c r="B3834" s="8" t="s">
        <v>2733</v>
      </c>
      <c r="C3834" t="s">
        <v>6163</v>
      </c>
      <c r="D3834" s="8" t="s">
        <v>6164</v>
      </c>
    </row>
    <row r="3835" spans="1:4" x14ac:dyDescent="0.35">
      <c r="A3835" t="s">
        <v>7255</v>
      </c>
      <c r="B3835" s="8" t="s">
        <v>2734</v>
      </c>
      <c r="C3835" t="s">
        <v>7127</v>
      </c>
      <c r="D3835" s="8" t="s">
        <v>7128</v>
      </c>
    </row>
    <row r="3836" spans="1:4" x14ac:dyDescent="0.35">
      <c r="A3836" t="s">
        <v>7255</v>
      </c>
      <c r="B3836" s="8" t="s">
        <v>2734</v>
      </c>
      <c r="C3836" t="s">
        <v>7209</v>
      </c>
      <c r="D3836" s="8" t="s">
        <v>7210</v>
      </c>
    </row>
    <row r="3837" spans="1:4" x14ac:dyDescent="0.35">
      <c r="A3837" t="s">
        <v>7255</v>
      </c>
      <c r="B3837" s="8" t="s">
        <v>2734</v>
      </c>
      <c r="C3837" t="s">
        <v>6752</v>
      </c>
      <c r="D3837" s="8" t="s">
        <v>6753</v>
      </c>
    </row>
    <row r="3838" spans="1:4" x14ac:dyDescent="0.35">
      <c r="A3838" t="s">
        <v>7255</v>
      </c>
      <c r="B3838" s="8" t="s">
        <v>2734</v>
      </c>
      <c r="C3838" t="s">
        <v>7183</v>
      </c>
      <c r="D3838" s="8" t="s">
        <v>7184</v>
      </c>
    </row>
    <row r="3839" spans="1:4" x14ac:dyDescent="0.35">
      <c r="A3839" t="s">
        <v>7256</v>
      </c>
      <c r="B3839" s="8" t="s">
        <v>2735</v>
      </c>
      <c r="C3839" t="s">
        <v>6749</v>
      </c>
      <c r="D3839" s="8" t="s">
        <v>6750</v>
      </c>
    </row>
    <row r="3840" spans="1:4" x14ac:dyDescent="0.35">
      <c r="A3840" t="s">
        <v>7256</v>
      </c>
      <c r="B3840" s="8" t="s">
        <v>2735</v>
      </c>
      <c r="C3840" t="s">
        <v>7127</v>
      </c>
      <c r="D3840" s="8" t="s">
        <v>7128</v>
      </c>
    </row>
    <row r="3841" spans="1:4" x14ac:dyDescent="0.35">
      <c r="A3841" t="s">
        <v>7256</v>
      </c>
      <c r="B3841" s="8" t="s">
        <v>2735</v>
      </c>
      <c r="C3841" t="s">
        <v>7183</v>
      </c>
      <c r="D3841" s="8" t="s">
        <v>7184</v>
      </c>
    </row>
    <row r="3842" spans="1:4" x14ac:dyDescent="0.35">
      <c r="A3842" t="s">
        <v>7257</v>
      </c>
      <c r="B3842" s="8" t="s">
        <v>2736</v>
      </c>
      <c r="C3842" t="s">
        <v>7127</v>
      </c>
      <c r="D3842" s="8" t="s">
        <v>7128</v>
      </c>
    </row>
    <row r="3843" spans="1:4" x14ac:dyDescent="0.35">
      <c r="A3843" t="s">
        <v>7257</v>
      </c>
      <c r="B3843" s="8" t="s">
        <v>2736</v>
      </c>
      <c r="C3843" t="s">
        <v>6752</v>
      </c>
      <c r="D3843" s="8" t="s">
        <v>6753</v>
      </c>
    </row>
    <row r="3844" spans="1:4" x14ac:dyDescent="0.35">
      <c r="A3844" t="s">
        <v>7258</v>
      </c>
      <c r="B3844" s="8" t="s">
        <v>2737</v>
      </c>
      <c r="C3844" t="s">
        <v>7127</v>
      </c>
      <c r="D3844" s="8" t="s">
        <v>7128</v>
      </c>
    </row>
    <row r="3845" spans="1:4" x14ac:dyDescent="0.35">
      <c r="A3845" t="s">
        <v>7258</v>
      </c>
      <c r="B3845" s="8" t="s">
        <v>2737</v>
      </c>
      <c r="C3845" t="s">
        <v>7209</v>
      </c>
      <c r="D3845" s="8" t="s">
        <v>7210</v>
      </c>
    </row>
    <row r="3846" spans="1:4" x14ac:dyDescent="0.35">
      <c r="A3846" t="s">
        <v>7258</v>
      </c>
      <c r="B3846" s="8" t="s">
        <v>2737</v>
      </c>
      <c r="C3846" t="s">
        <v>7183</v>
      </c>
      <c r="D3846" s="8" t="s">
        <v>7184</v>
      </c>
    </row>
    <row r="3847" spans="1:4" x14ac:dyDescent="0.35">
      <c r="A3847" t="s">
        <v>7259</v>
      </c>
      <c r="B3847" s="8" t="s">
        <v>2738</v>
      </c>
      <c r="C3847" t="s">
        <v>7127</v>
      </c>
      <c r="D3847" s="8" t="s">
        <v>7128</v>
      </c>
    </row>
    <row r="3848" spans="1:4" x14ac:dyDescent="0.35">
      <c r="A3848" t="s">
        <v>7259</v>
      </c>
      <c r="B3848" s="8" t="s">
        <v>2738</v>
      </c>
      <c r="C3848" t="s">
        <v>7209</v>
      </c>
      <c r="D3848" s="8" t="s">
        <v>7210</v>
      </c>
    </row>
    <row r="3849" spans="1:4" x14ac:dyDescent="0.35">
      <c r="A3849" t="s">
        <v>7259</v>
      </c>
      <c r="B3849" s="8" t="s">
        <v>2738</v>
      </c>
      <c r="C3849" t="s">
        <v>7183</v>
      </c>
      <c r="D3849" s="8" t="s">
        <v>7184</v>
      </c>
    </row>
    <row r="3850" spans="1:4" x14ac:dyDescent="0.35">
      <c r="A3850" t="s">
        <v>7260</v>
      </c>
      <c r="B3850" s="8" t="s">
        <v>2739</v>
      </c>
      <c r="C3850" t="s">
        <v>7183</v>
      </c>
      <c r="D3850" s="8" t="s">
        <v>7184</v>
      </c>
    </row>
    <row r="3851" spans="1:4" x14ac:dyDescent="0.35">
      <c r="A3851" t="s">
        <v>2740</v>
      </c>
      <c r="B3851" s="8" t="s">
        <v>2741</v>
      </c>
      <c r="C3851" t="s">
        <v>6163</v>
      </c>
      <c r="D3851" s="8" t="s">
        <v>6164</v>
      </c>
    </row>
    <row r="3852" spans="1:4" x14ac:dyDescent="0.35">
      <c r="A3852" t="s">
        <v>2742</v>
      </c>
      <c r="B3852" s="8" t="s">
        <v>2743</v>
      </c>
      <c r="C3852" t="s">
        <v>6163</v>
      </c>
      <c r="D3852" s="8" t="s">
        <v>6164</v>
      </c>
    </row>
    <row r="3853" spans="1:4" x14ac:dyDescent="0.35">
      <c r="A3853" t="s">
        <v>2744</v>
      </c>
      <c r="B3853" s="8" t="s">
        <v>2745</v>
      </c>
      <c r="C3853" t="s">
        <v>7261</v>
      </c>
      <c r="D3853" s="8" t="s">
        <v>7262</v>
      </c>
    </row>
    <row r="3854" spans="1:4" x14ac:dyDescent="0.35">
      <c r="A3854" t="s">
        <v>2746</v>
      </c>
      <c r="B3854" s="8" t="s">
        <v>2747</v>
      </c>
      <c r="C3854" t="s">
        <v>7263</v>
      </c>
      <c r="D3854" s="8" t="s">
        <v>7264</v>
      </c>
    </row>
    <row r="3855" spans="1:4" x14ac:dyDescent="0.35">
      <c r="A3855" t="s">
        <v>2746</v>
      </c>
      <c r="B3855" s="8" t="s">
        <v>2747</v>
      </c>
      <c r="C3855" t="s">
        <v>7265</v>
      </c>
      <c r="D3855" s="8" t="s">
        <v>7266</v>
      </c>
    </row>
    <row r="3856" spans="1:4" x14ac:dyDescent="0.35">
      <c r="A3856" t="s">
        <v>2748</v>
      </c>
      <c r="B3856" s="8" t="s">
        <v>2749</v>
      </c>
      <c r="C3856" t="s">
        <v>6163</v>
      </c>
      <c r="D3856" s="8" t="s">
        <v>6164</v>
      </c>
    </row>
    <row r="3857" spans="1:4" x14ac:dyDescent="0.35">
      <c r="A3857" t="s">
        <v>2750</v>
      </c>
      <c r="B3857" s="8" t="s">
        <v>2751</v>
      </c>
      <c r="C3857" t="s">
        <v>7267</v>
      </c>
      <c r="D3857" s="8" t="s">
        <v>7268</v>
      </c>
    </row>
    <row r="3858" spans="1:4" x14ac:dyDescent="0.35">
      <c r="A3858" t="s">
        <v>2750</v>
      </c>
      <c r="B3858" s="8" t="s">
        <v>2751</v>
      </c>
      <c r="C3858" t="s">
        <v>7269</v>
      </c>
      <c r="D3858" s="8" t="s">
        <v>7270</v>
      </c>
    </row>
    <row r="3859" spans="1:4" x14ac:dyDescent="0.35">
      <c r="A3859" t="s">
        <v>2750</v>
      </c>
      <c r="B3859" s="8" t="s">
        <v>2751</v>
      </c>
      <c r="C3859" t="s">
        <v>7271</v>
      </c>
      <c r="D3859" s="8" t="s">
        <v>7272</v>
      </c>
    </row>
    <row r="3860" spans="1:4" ht="29" x14ac:dyDescent="0.35">
      <c r="A3860" t="s">
        <v>2750</v>
      </c>
      <c r="B3860" s="8" t="s">
        <v>2751</v>
      </c>
      <c r="C3860" t="s">
        <v>7273</v>
      </c>
      <c r="D3860" s="8" t="s">
        <v>7274</v>
      </c>
    </row>
    <row r="3861" spans="1:4" x14ac:dyDescent="0.35">
      <c r="A3861" t="s">
        <v>2750</v>
      </c>
      <c r="B3861" s="8" t="s">
        <v>2751</v>
      </c>
      <c r="C3861" t="s">
        <v>7275</v>
      </c>
      <c r="D3861" s="8" t="s">
        <v>7276</v>
      </c>
    </row>
    <row r="3862" spans="1:4" ht="29" x14ac:dyDescent="0.35">
      <c r="A3862" t="s">
        <v>2750</v>
      </c>
      <c r="B3862" s="8" t="s">
        <v>2751</v>
      </c>
      <c r="C3862" t="s">
        <v>7277</v>
      </c>
      <c r="D3862" s="8" t="s">
        <v>7278</v>
      </c>
    </row>
    <row r="3863" spans="1:4" x14ac:dyDescent="0.35">
      <c r="A3863" t="s">
        <v>2750</v>
      </c>
      <c r="B3863" s="8" t="s">
        <v>2751</v>
      </c>
      <c r="C3863" t="s">
        <v>7279</v>
      </c>
      <c r="D3863" s="8" t="s">
        <v>7280</v>
      </c>
    </row>
    <row r="3864" spans="1:4" x14ac:dyDescent="0.35">
      <c r="A3864" t="s">
        <v>2750</v>
      </c>
      <c r="B3864" s="8" t="s">
        <v>2751</v>
      </c>
      <c r="C3864" t="s">
        <v>7281</v>
      </c>
      <c r="D3864" s="8" t="s">
        <v>7282</v>
      </c>
    </row>
    <row r="3865" spans="1:4" x14ac:dyDescent="0.35">
      <c r="A3865" t="s">
        <v>2750</v>
      </c>
      <c r="B3865" s="8" t="s">
        <v>2751</v>
      </c>
      <c r="C3865" t="s">
        <v>7283</v>
      </c>
      <c r="D3865" s="8" t="s">
        <v>7284</v>
      </c>
    </row>
    <row r="3866" spans="1:4" x14ac:dyDescent="0.35">
      <c r="A3866" t="s">
        <v>2750</v>
      </c>
      <c r="B3866" s="8" t="s">
        <v>2751</v>
      </c>
      <c r="C3866" t="s">
        <v>7285</v>
      </c>
      <c r="D3866" s="8" t="s">
        <v>7286</v>
      </c>
    </row>
    <row r="3867" spans="1:4" x14ac:dyDescent="0.35">
      <c r="A3867" t="s">
        <v>2750</v>
      </c>
      <c r="B3867" s="8" t="s">
        <v>2751</v>
      </c>
      <c r="C3867" t="s">
        <v>7287</v>
      </c>
      <c r="D3867" s="8" t="s">
        <v>7288</v>
      </c>
    </row>
    <row r="3868" spans="1:4" x14ac:dyDescent="0.35">
      <c r="A3868" t="s">
        <v>2750</v>
      </c>
      <c r="B3868" s="8" t="s">
        <v>2751</v>
      </c>
      <c r="C3868" t="s">
        <v>7289</v>
      </c>
      <c r="D3868" s="8" t="s">
        <v>7290</v>
      </c>
    </row>
    <row r="3869" spans="1:4" x14ac:dyDescent="0.35">
      <c r="A3869" t="s">
        <v>2750</v>
      </c>
      <c r="B3869" s="8" t="s">
        <v>2751</v>
      </c>
      <c r="C3869" t="s">
        <v>7291</v>
      </c>
      <c r="D3869" s="8" t="s">
        <v>7292</v>
      </c>
    </row>
    <row r="3870" spans="1:4" x14ac:dyDescent="0.35">
      <c r="A3870" t="s">
        <v>2752</v>
      </c>
      <c r="B3870" s="8" t="s">
        <v>2753</v>
      </c>
      <c r="C3870" t="s">
        <v>7293</v>
      </c>
      <c r="D3870" s="8" t="s">
        <v>7294</v>
      </c>
    </row>
    <row r="3871" spans="1:4" ht="29" x14ac:dyDescent="0.35">
      <c r="A3871" t="s">
        <v>2752</v>
      </c>
      <c r="B3871" s="8" t="s">
        <v>2753</v>
      </c>
      <c r="C3871" t="s">
        <v>7277</v>
      </c>
      <c r="D3871" s="8" t="s">
        <v>7278</v>
      </c>
    </row>
    <row r="3872" spans="1:4" x14ac:dyDescent="0.35">
      <c r="A3872" t="s">
        <v>2752</v>
      </c>
      <c r="B3872" s="8" t="s">
        <v>2753</v>
      </c>
      <c r="C3872" t="s">
        <v>7283</v>
      </c>
      <c r="D3872" s="8" t="s">
        <v>7284</v>
      </c>
    </row>
    <row r="3873" spans="1:4" x14ac:dyDescent="0.35">
      <c r="A3873" t="s">
        <v>2752</v>
      </c>
      <c r="B3873" s="8" t="s">
        <v>2753</v>
      </c>
      <c r="C3873" t="s">
        <v>7285</v>
      </c>
      <c r="D3873" s="8" t="s">
        <v>7286</v>
      </c>
    </row>
    <row r="3874" spans="1:4" x14ac:dyDescent="0.35">
      <c r="A3874" t="s">
        <v>2752</v>
      </c>
      <c r="B3874" s="8" t="s">
        <v>2753</v>
      </c>
      <c r="C3874" t="s">
        <v>7287</v>
      </c>
      <c r="D3874" s="8" t="s">
        <v>7288</v>
      </c>
    </row>
    <row r="3875" spans="1:4" x14ac:dyDescent="0.35">
      <c r="A3875" t="s">
        <v>2752</v>
      </c>
      <c r="B3875" s="8" t="s">
        <v>2753</v>
      </c>
      <c r="C3875" t="s">
        <v>7289</v>
      </c>
      <c r="D3875" s="8" t="s">
        <v>7290</v>
      </c>
    </row>
    <row r="3876" spans="1:4" x14ac:dyDescent="0.35">
      <c r="A3876" t="s">
        <v>2752</v>
      </c>
      <c r="B3876" s="8" t="s">
        <v>2753</v>
      </c>
      <c r="C3876" t="s">
        <v>7295</v>
      </c>
      <c r="D3876" s="8" t="s">
        <v>7296</v>
      </c>
    </row>
    <row r="3877" spans="1:4" x14ac:dyDescent="0.35">
      <c r="A3877" t="s">
        <v>2752</v>
      </c>
      <c r="B3877" s="8" t="s">
        <v>2753</v>
      </c>
      <c r="C3877" t="s">
        <v>7291</v>
      </c>
      <c r="D3877" s="8" t="s">
        <v>7292</v>
      </c>
    </row>
    <row r="3878" spans="1:4" x14ac:dyDescent="0.35">
      <c r="A3878" t="s">
        <v>2752</v>
      </c>
      <c r="B3878" s="8" t="s">
        <v>2753</v>
      </c>
      <c r="C3878" t="s">
        <v>7297</v>
      </c>
      <c r="D3878" s="8" t="s">
        <v>7298</v>
      </c>
    </row>
    <row r="3879" spans="1:4" x14ac:dyDescent="0.35">
      <c r="A3879" t="s">
        <v>2754</v>
      </c>
      <c r="B3879" s="8" t="s">
        <v>2755</v>
      </c>
      <c r="C3879" t="s">
        <v>7299</v>
      </c>
      <c r="D3879" s="8" t="s">
        <v>7300</v>
      </c>
    </row>
    <row r="3880" spans="1:4" x14ac:dyDescent="0.35">
      <c r="A3880" t="s">
        <v>2754</v>
      </c>
      <c r="B3880" s="8" t="s">
        <v>2755</v>
      </c>
      <c r="C3880" t="s">
        <v>7271</v>
      </c>
      <c r="D3880" s="8" t="s">
        <v>7272</v>
      </c>
    </row>
    <row r="3881" spans="1:4" ht="29" x14ac:dyDescent="0.35">
      <c r="A3881" t="s">
        <v>2754</v>
      </c>
      <c r="B3881" s="8" t="s">
        <v>2755</v>
      </c>
      <c r="C3881" t="s">
        <v>7273</v>
      </c>
      <c r="D3881" s="8" t="s">
        <v>7274</v>
      </c>
    </row>
    <row r="3882" spans="1:4" x14ac:dyDescent="0.35">
      <c r="A3882" t="s">
        <v>2754</v>
      </c>
      <c r="B3882" s="8" t="s">
        <v>2755</v>
      </c>
      <c r="C3882" t="s">
        <v>7301</v>
      </c>
      <c r="D3882" s="8" t="s">
        <v>7302</v>
      </c>
    </row>
    <row r="3883" spans="1:4" x14ac:dyDescent="0.35">
      <c r="A3883" t="s">
        <v>2754</v>
      </c>
      <c r="B3883" s="8" t="s">
        <v>2755</v>
      </c>
      <c r="C3883" t="s">
        <v>7303</v>
      </c>
      <c r="D3883" s="8" t="s">
        <v>7304</v>
      </c>
    </row>
    <row r="3884" spans="1:4" x14ac:dyDescent="0.35">
      <c r="A3884" t="s">
        <v>2756</v>
      </c>
      <c r="B3884" s="8" t="s">
        <v>2757</v>
      </c>
      <c r="C3884" t="s">
        <v>7305</v>
      </c>
      <c r="D3884" s="8" t="s">
        <v>7306</v>
      </c>
    </row>
    <row r="3885" spans="1:4" x14ac:dyDescent="0.35">
      <c r="A3885" t="s">
        <v>2758</v>
      </c>
      <c r="B3885" s="8" t="s">
        <v>2759</v>
      </c>
      <c r="C3885" t="s">
        <v>6703</v>
      </c>
      <c r="D3885" s="8" t="s">
        <v>6704</v>
      </c>
    </row>
    <row r="3886" spans="1:4" x14ac:dyDescent="0.35">
      <c r="A3886" t="s">
        <v>2758</v>
      </c>
      <c r="B3886" s="8" t="s">
        <v>2759</v>
      </c>
      <c r="C3886" t="s">
        <v>7307</v>
      </c>
      <c r="D3886" s="8" t="s">
        <v>7308</v>
      </c>
    </row>
    <row r="3887" spans="1:4" x14ac:dyDescent="0.35">
      <c r="A3887" t="s">
        <v>2760</v>
      </c>
      <c r="B3887" s="8" t="s">
        <v>2761</v>
      </c>
      <c r="C3887" t="s">
        <v>7309</v>
      </c>
      <c r="D3887" s="8" t="s">
        <v>7310</v>
      </c>
    </row>
    <row r="3888" spans="1:4" x14ac:dyDescent="0.35">
      <c r="A3888" t="s">
        <v>2762</v>
      </c>
      <c r="B3888" s="8" t="s">
        <v>2763</v>
      </c>
      <c r="C3888" t="s">
        <v>7297</v>
      </c>
      <c r="D3888" s="8" t="s">
        <v>7298</v>
      </c>
    </row>
    <row r="3889" spans="1:4" x14ac:dyDescent="0.35">
      <c r="A3889" t="s">
        <v>2762</v>
      </c>
      <c r="B3889" s="8" t="s">
        <v>2763</v>
      </c>
      <c r="C3889" t="s">
        <v>7311</v>
      </c>
      <c r="D3889" s="8" t="s">
        <v>7312</v>
      </c>
    </row>
    <row r="3890" spans="1:4" x14ac:dyDescent="0.35">
      <c r="A3890" t="s">
        <v>2764</v>
      </c>
      <c r="B3890" s="8" t="s">
        <v>2765</v>
      </c>
      <c r="C3890" t="s">
        <v>7293</v>
      </c>
      <c r="D3890" s="8" t="s">
        <v>7294</v>
      </c>
    </row>
    <row r="3891" spans="1:4" x14ac:dyDescent="0.35">
      <c r="A3891" t="s">
        <v>2766</v>
      </c>
      <c r="B3891" s="8" t="s">
        <v>2767</v>
      </c>
      <c r="C3891" t="s">
        <v>7291</v>
      </c>
      <c r="D3891" s="8" t="s">
        <v>7292</v>
      </c>
    </row>
    <row r="3892" spans="1:4" x14ac:dyDescent="0.35">
      <c r="A3892" t="s">
        <v>2768</v>
      </c>
      <c r="B3892" s="8" t="s">
        <v>2769</v>
      </c>
      <c r="C3892" t="s">
        <v>7313</v>
      </c>
      <c r="D3892" s="8" t="s">
        <v>7314</v>
      </c>
    </row>
    <row r="3893" spans="1:4" x14ac:dyDescent="0.35">
      <c r="A3893" t="s">
        <v>2768</v>
      </c>
      <c r="B3893" s="8" t="s">
        <v>2769</v>
      </c>
      <c r="C3893" t="s">
        <v>7315</v>
      </c>
      <c r="D3893" s="8" t="s">
        <v>7316</v>
      </c>
    </row>
    <row r="3894" spans="1:4" x14ac:dyDescent="0.35">
      <c r="A3894" t="s">
        <v>2770</v>
      </c>
      <c r="B3894" s="8" t="s">
        <v>2771</v>
      </c>
      <c r="C3894" t="s">
        <v>7317</v>
      </c>
      <c r="D3894" s="8" t="s">
        <v>7318</v>
      </c>
    </row>
    <row r="3895" spans="1:4" x14ac:dyDescent="0.35">
      <c r="A3895" t="s">
        <v>2770</v>
      </c>
      <c r="B3895" s="8" t="s">
        <v>2771</v>
      </c>
      <c r="C3895" t="s">
        <v>7315</v>
      </c>
      <c r="D3895" s="8" t="s">
        <v>7316</v>
      </c>
    </row>
    <row r="3896" spans="1:4" x14ac:dyDescent="0.35">
      <c r="A3896" t="s">
        <v>2772</v>
      </c>
      <c r="B3896" s="8" t="s">
        <v>2773</v>
      </c>
      <c r="C3896" t="s">
        <v>7319</v>
      </c>
      <c r="D3896" s="8" t="s">
        <v>7320</v>
      </c>
    </row>
    <row r="3897" spans="1:4" x14ac:dyDescent="0.35">
      <c r="A3897" t="s">
        <v>2772</v>
      </c>
      <c r="B3897" s="8" t="s">
        <v>2773</v>
      </c>
      <c r="C3897" t="s">
        <v>7321</v>
      </c>
      <c r="D3897" s="8" t="s">
        <v>7322</v>
      </c>
    </row>
    <row r="3898" spans="1:4" x14ac:dyDescent="0.35">
      <c r="A3898" t="s">
        <v>2772</v>
      </c>
      <c r="B3898" s="8" t="s">
        <v>2773</v>
      </c>
      <c r="C3898" t="s">
        <v>7323</v>
      </c>
      <c r="D3898" s="8" t="s">
        <v>7324</v>
      </c>
    </row>
    <row r="3899" spans="1:4" x14ac:dyDescent="0.35">
      <c r="A3899" t="s">
        <v>2772</v>
      </c>
      <c r="B3899" s="8" t="s">
        <v>2773</v>
      </c>
      <c r="C3899" t="s">
        <v>7325</v>
      </c>
      <c r="D3899" s="8" t="s">
        <v>7326</v>
      </c>
    </row>
    <row r="3900" spans="1:4" x14ac:dyDescent="0.35">
      <c r="A3900" t="s">
        <v>2772</v>
      </c>
      <c r="B3900" s="8" t="s">
        <v>2773</v>
      </c>
      <c r="C3900" t="s">
        <v>7313</v>
      </c>
      <c r="D3900" s="8" t="s">
        <v>7314</v>
      </c>
    </row>
    <row r="3901" spans="1:4" x14ac:dyDescent="0.35">
      <c r="A3901" t="s">
        <v>2772</v>
      </c>
      <c r="B3901" s="8" t="s">
        <v>2773</v>
      </c>
      <c r="C3901" t="s">
        <v>7315</v>
      </c>
      <c r="D3901" s="8" t="s">
        <v>7316</v>
      </c>
    </row>
    <row r="3902" spans="1:4" x14ac:dyDescent="0.35">
      <c r="A3902" t="s">
        <v>7327</v>
      </c>
      <c r="B3902" s="8" t="s">
        <v>2774</v>
      </c>
      <c r="C3902" t="s">
        <v>7321</v>
      </c>
      <c r="D3902" s="8" t="s">
        <v>7322</v>
      </c>
    </row>
    <row r="3903" spans="1:4" x14ac:dyDescent="0.35">
      <c r="A3903" t="s">
        <v>7327</v>
      </c>
      <c r="B3903" s="8" t="s">
        <v>2774</v>
      </c>
      <c r="C3903" t="s">
        <v>7315</v>
      </c>
      <c r="D3903" s="8" t="s">
        <v>7316</v>
      </c>
    </row>
    <row r="3904" spans="1:4" x14ac:dyDescent="0.35">
      <c r="A3904" t="s">
        <v>2775</v>
      </c>
      <c r="B3904" s="8" t="s">
        <v>2776</v>
      </c>
      <c r="C3904" t="s">
        <v>7315</v>
      </c>
      <c r="D3904" s="8" t="s">
        <v>7316</v>
      </c>
    </row>
    <row r="3905" spans="1:4" x14ac:dyDescent="0.35">
      <c r="A3905" t="s">
        <v>2777</v>
      </c>
      <c r="B3905" s="8" t="s">
        <v>2778</v>
      </c>
      <c r="C3905" t="s">
        <v>7328</v>
      </c>
      <c r="D3905" s="8" t="s">
        <v>7329</v>
      </c>
    </row>
    <row r="3906" spans="1:4" x14ac:dyDescent="0.35">
      <c r="A3906" t="s">
        <v>2779</v>
      </c>
      <c r="B3906" s="8" t="s">
        <v>2780</v>
      </c>
      <c r="C3906" t="s">
        <v>6163</v>
      </c>
      <c r="D3906" s="8" t="s">
        <v>6164</v>
      </c>
    </row>
    <row r="3907" spans="1:4" x14ac:dyDescent="0.35">
      <c r="A3907" t="s">
        <v>2781</v>
      </c>
      <c r="B3907" s="8" t="s">
        <v>2782</v>
      </c>
      <c r="C3907" t="s">
        <v>7086</v>
      </c>
      <c r="D3907" s="8" t="s">
        <v>7087</v>
      </c>
    </row>
    <row r="3908" spans="1:4" x14ac:dyDescent="0.35">
      <c r="A3908" t="s">
        <v>2783</v>
      </c>
      <c r="B3908" s="8" t="s">
        <v>2784</v>
      </c>
      <c r="C3908" t="s">
        <v>7330</v>
      </c>
      <c r="D3908" s="8" t="s">
        <v>7331</v>
      </c>
    </row>
    <row r="3909" spans="1:4" x14ac:dyDescent="0.35">
      <c r="A3909" t="s">
        <v>2783</v>
      </c>
      <c r="B3909" s="8" t="s">
        <v>2784</v>
      </c>
      <c r="C3909" t="s">
        <v>7332</v>
      </c>
      <c r="D3909" s="8" t="s">
        <v>7333</v>
      </c>
    </row>
    <row r="3910" spans="1:4" x14ac:dyDescent="0.35">
      <c r="A3910" t="s">
        <v>2785</v>
      </c>
      <c r="B3910" s="8" t="s">
        <v>2786</v>
      </c>
      <c r="C3910" t="s">
        <v>7086</v>
      </c>
      <c r="D3910" s="8" t="s">
        <v>7087</v>
      </c>
    </row>
    <row r="3911" spans="1:4" x14ac:dyDescent="0.35">
      <c r="A3911" t="s">
        <v>2787</v>
      </c>
      <c r="B3911" s="8" t="s">
        <v>2788</v>
      </c>
      <c r="C3911" t="s">
        <v>7334</v>
      </c>
      <c r="D3911" s="8" t="s">
        <v>7335</v>
      </c>
    </row>
    <row r="3912" spans="1:4" x14ac:dyDescent="0.35">
      <c r="A3912" t="s">
        <v>2787</v>
      </c>
      <c r="B3912" s="8" t="s">
        <v>2788</v>
      </c>
      <c r="C3912" t="s">
        <v>7336</v>
      </c>
      <c r="D3912" s="8" t="s">
        <v>7337</v>
      </c>
    </row>
    <row r="3913" spans="1:4" x14ac:dyDescent="0.35">
      <c r="A3913" t="s">
        <v>2789</v>
      </c>
      <c r="B3913" s="8" t="s">
        <v>2790</v>
      </c>
      <c r="C3913" t="s">
        <v>7338</v>
      </c>
      <c r="D3913" s="8" t="s">
        <v>7339</v>
      </c>
    </row>
    <row r="3914" spans="1:4" x14ac:dyDescent="0.35">
      <c r="A3914" t="s">
        <v>2789</v>
      </c>
      <c r="B3914" s="8" t="s">
        <v>2790</v>
      </c>
      <c r="C3914" t="s">
        <v>7340</v>
      </c>
      <c r="D3914" s="8" t="s">
        <v>7341</v>
      </c>
    </row>
    <row r="3915" spans="1:4" x14ac:dyDescent="0.35">
      <c r="A3915" t="s">
        <v>2791</v>
      </c>
      <c r="B3915" s="8" t="s">
        <v>2792</v>
      </c>
      <c r="C3915" t="s">
        <v>7330</v>
      </c>
      <c r="D3915" s="8" t="s">
        <v>7331</v>
      </c>
    </row>
    <row r="3916" spans="1:4" x14ac:dyDescent="0.35">
      <c r="A3916" t="s">
        <v>2791</v>
      </c>
      <c r="B3916" s="8" t="s">
        <v>2792</v>
      </c>
      <c r="C3916" t="s">
        <v>7332</v>
      </c>
      <c r="D3916" s="8" t="s">
        <v>7333</v>
      </c>
    </row>
    <row r="3917" spans="1:4" x14ac:dyDescent="0.35">
      <c r="A3917" t="s">
        <v>2793</v>
      </c>
      <c r="B3917" s="8" t="s">
        <v>2794</v>
      </c>
      <c r="C3917" t="s">
        <v>6163</v>
      </c>
      <c r="D3917" s="8" t="s">
        <v>6164</v>
      </c>
    </row>
    <row r="3918" spans="1:4" x14ac:dyDescent="0.35">
      <c r="A3918" t="s">
        <v>2795</v>
      </c>
      <c r="B3918" s="8" t="s">
        <v>2796</v>
      </c>
      <c r="C3918" t="s">
        <v>7342</v>
      </c>
      <c r="D3918" s="8" t="s">
        <v>7343</v>
      </c>
    </row>
    <row r="3919" spans="1:4" x14ac:dyDescent="0.35">
      <c r="A3919" t="s">
        <v>2795</v>
      </c>
      <c r="B3919" s="8" t="s">
        <v>2796</v>
      </c>
      <c r="C3919" t="s">
        <v>7344</v>
      </c>
      <c r="D3919" s="8" t="s">
        <v>7345</v>
      </c>
    </row>
    <row r="3920" spans="1:4" x14ac:dyDescent="0.35">
      <c r="A3920" t="s">
        <v>2795</v>
      </c>
      <c r="B3920" s="8" t="s">
        <v>2796</v>
      </c>
      <c r="C3920" t="s">
        <v>7346</v>
      </c>
      <c r="D3920" s="8" t="s">
        <v>7347</v>
      </c>
    </row>
    <row r="3921" spans="1:4" x14ac:dyDescent="0.35">
      <c r="A3921" t="s">
        <v>2795</v>
      </c>
      <c r="B3921" s="8" t="s">
        <v>2796</v>
      </c>
      <c r="C3921" t="s">
        <v>7348</v>
      </c>
      <c r="D3921" s="8" t="s">
        <v>7349</v>
      </c>
    </row>
    <row r="3922" spans="1:4" x14ac:dyDescent="0.35">
      <c r="A3922" t="s">
        <v>2795</v>
      </c>
      <c r="B3922" s="8" t="s">
        <v>2796</v>
      </c>
      <c r="C3922" t="s">
        <v>7350</v>
      </c>
      <c r="D3922" s="8" t="s">
        <v>7351</v>
      </c>
    </row>
    <row r="3923" spans="1:4" x14ac:dyDescent="0.35">
      <c r="A3923" t="s">
        <v>2795</v>
      </c>
      <c r="B3923" s="8" t="s">
        <v>2796</v>
      </c>
      <c r="C3923" t="s">
        <v>7352</v>
      </c>
      <c r="D3923" s="8" t="s">
        <v>7353</v>
      </c>
    </row>
    <row r="3924" spans="1:4" x14ac:dyDescent="0.35">
      <c r="A3924" t="s">
        <v>2795</v>
      </c>
      <c r="B3924" s="8" t="s">
        <v>2796</v>
      </c>
      <c r="C3924" t="s">
        <v>7354</v>
      </c>
      <c r="D3924" s="8" t="s">
        <v>7355</v>
      </c>
    </row>
    <row r="3925" spans="1:4" x14ac:dyDescent="0.35">
      <c r="A3925" t="s">
        <v>2795</v>
      </c>
      <c r="B3925" s="8" t="s">
        <v>2796</v>
      </c>
      <c r="C3925" t="s">
        <v>7179</v>
      </c>
      <c r="D3925" s="8" t="s">
        <v>7180</v>
      </c>
    </row>
    <row r="3926" spans="1:4" x14ac:dyDescent="0.35">
      <c r="A3926" t="s">
        <v>2795</v>
      </c>
      <c r="B3926" s="8" t="s">
        <v>2796</v>
      </c>
      <c r="C3926" t="s">
        <v>7181</v>
      </c>
      <c r="D3926" s="8" t="s">
        <v>7182</v>
      </c>
    </row>
    <row r="3927" spans="1:4" x14ac:dyDescent="0.35">
      <c r="A3927" t="s">
        <v>2795</v>
      </c>
      <c r="B3927" s="8" t="s">
        <v>2796</v>
      </c>
      <c r="C3927" t="s">
        <v>7356</v>
      </c>
      <c r="D3927" s="8" t="s">
        <v>7357</v>
      </c>
    </row>
    <row r="3928" spans="1:4" x14ac:dyDescent="0.35">
      <c r="A3928" t="s">
        <v>2795</v>
      </c>
      <c r="B3928" s="8" t="s">
        <v>2796</v>
      </c>
      <c r="C3928" t="s">
        <v>7358</v>
      </c>
      <c r="D3928" s="8" t="s">
        <v>7359</v>
      </c>
    </row>
    <row r="3929" spans="1:4" x14ac:dyDescent="0.35">
      <c r="A3929" t="s">
        <v>2795</v>
      </c>
      <c r="B3929" s="8" t="s">
        <v>2796</v>
      </c>
      <c r="C3929" t="s">
        <v>7360</v>
      </c>
      <c r="D3929" s="8" t="s">
        <v>7361</v>
      </c>
    </row>
    <row r="3930" spans="1:4" x14ac:dyDescent="0.35">
      <c r="A3930" t="s">
        <v>2795</v>
      </c>
      <c r="B3930" s="8" t="s">
        <v>2796</v>
      </c>
      <c r="C3930" t="s">
        <v>7362</v>
      </c>
      <c r="D3930" s="8" t="s">
        <v>7363</v>
      </c>
    </row>
    <row r="3931" spans="1:4" x14ac:dyDescent="0.35">
      <c r="A3931" t="s">
        <v>2795</v>
      </c>
      <c r="B3931" s="8" t="s">
        <v>2796</v>
      </c>
      <c r="C3931" t="s">
        <v>7364</v>
      </c>
      <c r="D3931" s="8" t="s">
        <v>7365</v>
      </c>
    </row>
    <row r="3932" spans="1:4" x14ac:dyDescent="0.35">
      <c r="A3932" t="s">
        <v>2795</v>
      </c>
      <c r="B3932" s="8" t="s">
        <v>2796</v>
      </c>
      <c r="C3932" t="s">
        <v>7366</v>
      </c>
      <c r="D3932" s="8" t="s">
        <v>7367</v>
      </c>
    </row>
    <row r="3933" spans="1:4" x14ac:dyDescent="0.35">
      <c r="A3933" t="s">
        <v>2795</v>
      </c>
      <c r="B3933" s="8" t="s">
        <v>2796</v>
      </c>
      <c r="C3933" t="s">
        <v>7368</v>
      </c>
      <c r="D3933" s="8" t="s">
        <v>7369</v>
      </c>
    </row>
    <row r="3934" spans="1:4" x14ac:dyDescent="0.35">
      <c r="A3934" t="s">
        <v>2797</v>
      </c>
      <c r="B3934" s="8" t="s">
        <v>2798</v>
      </c>
      <c r="C3934" t="s">
        <v>6144</v>
      </c>
      <c r="D3934" s="8" t="s">
        <v>6145</v>
      </c>
    </row>
    <row r="3935" spans="1:4" x14ac:dyDescent="0.35">
      <c r="A3935" t="s">
        <v>2797</v>
      </c>
      <c r="B3935" s="8" t="s">
        <v>2798</v>
      </c>
      <c r="C3935" t="s">
        <v>7370</v>
      </c>
      <c r="D3935" s="8" t="s">
        <v>7371</v>
      </c>
    </row>
    <row r="3936" spans="1:4" x14ac:dyDescent="0.35">
      <c r="A3936" t="s">
        <v>2797</v>
      </c>
      <c r="B3936" s="8" t="s">
        <v>2798</v>
      </c>
      <c r="C3936" t="s">
        <v>7372</v>
      </c>
      <c r="D3936" s="8" t="s">
        <v>7373</v>
      </c>
    </row>
    <row r="3937" spans="1:4" x14ac:dyDescent="0.35">
      <c r="A3937" t="s">
        <v>2797</v>
      </c>
      <c r="B3937" s="8" t="s">
        <v>2798</v>
      </c>
      <c r="C3937" t="s">
        <v>7374</v>
      </c>
      <c r="D3937" s="8" t="s">
        <v>7375</v>
      </c>
    </row>
    <row r="3938" spans="1:4" x14ac:dyDescent="0.35">
      <c r="A3938" t="s">
        <v>2797</v>
      </c>
      <c r="B3938" s="8" t="s">
        <v>2798</v>
      </c>
      <c r="C3938" t="s">
        <v>7376</v>
      </c>
      <c r="D3938" s="8" t="s">
        <v>7377</v>
      </c>
    </row>
    <row r="3939" spans="1:4" x14ac:dyDescent="0.35">
      <c r="A3939" t="s">
        <v>2797</v>
      </c>
      <c r="B3939" s="8" t="s">
        <v>2798</v>
      </c>
      <c r="C3939" t="s">
        <v>7378</v>
      </c>
      <c r="D3939" s="8" t="s">
        <v>7379</v>
      </c>
    </row>
    <row r="3940" spans="1:4" x14ac:dyDescent="0.35">
      <c r="A3940" t="s">
        <v>2799</v>
      </c>
      <c r="B3940" s="8" t="s">
        <v>2801</v>
      </c>
      <c r="C3940" t="s">
        <v>7348</v>
      </c>
      <c r="D3940" s="8" t="s">
        <v>7349</v>
      </c>
    </row>
    <row r="3941" spans="1:4" x14ac:dyDescent="0.35">
      <c r="A3941" t="s">
        <v>2799</v>
      </c>
      <c r="B3941" s="8" t="s">
        <v>2801</v>
      </c>
      <c r="C3941" t="s">
        <v>7362</v>
      </c>
      <c r="D3941" s="8" t="s">
        <v>7363</v>
      </c>
    </row>
    <row r="3942" spans="1:4" x14ac:dyDescent="0.35">
      <c r="A3942" t="s">
        <v>2802</v>
      </c>
      <c r="B3942" s="8" t="s">
        <v>2803</v>
      </c>
      <c r="C3942" t="s">
        <v>7350</v>
      </c>
      <c r="D3942" s="8" t="s">
        <v>7351</v>
      </c>
    </row>
    <row r="3943" spans="1:4" x14ac:dyDescent="0.35">
      <c r="A3943" t="s">
        <v>2804</v>
      </c>
      <c r="B3943" s="8" t="s">
        <v>2805</v>
      </c>
      <c r="C3943" t="s">
        <v>7380</v>
      </c>
      <c r="D3943" s="8" t="s">
        <v>7381</v>
      </c>
    </row>
    <row r="3944" spans="1:4" x14ac:dyDescent="0.35">
      <c r="A3944" t="s">
        <v>2804</v>
      </c>
      <c r="B3944" s="8" t="s">
        <v>2805</v>
      </c>
      <c r="C3944" t="s">
        <v>7382</v>
      </c>
      <c r="D3944" s="8" t="s">
        <v>7383</v>
      </c>
    </row>
    <row r="3945" spans="1:4" x14ac:dyDescent="0.35">
      <c r="A3945" t="s">
        <v>2804</v>
      </c>
      <c r="B3945" s="8" t="s">
        <v>2805</v>
      </c>
      <c r="C3945" t="s">
        <v>7384</v>
      </c>
      <c r="D3945" s="8" t="s">
        <v>7385</v>
      </c>
    </row>
    <row r="3946" spans="1:4" x14ac:dyDescent="0.35">
      <c r="A3946" t="s">
        <v>2804</v>
      </c>
      <c r="B3946" s="8" t="s">
        <v>2805</v>
      </c>
      <c r="C3946" t="s">
        <v>7386</v>
      </c>
      <c r="D3946" s="8" t="s">
        <v>7387</v>
      </c>
    </row>
    <row r="3947" spans="1:4" x14ac:dyDescent="0.35">
      <c r="A3947" t="s">
        <v>2804</v>
      </c>
      <c r="B3947" s="8" t="s">
        <v>2805</v>
      </c>
      <c r="C3947" t="s">
        <v>7388</v>
      </c>
      <c r="D3947" s="8" t="s">
        <v>7389</v>
      </c>
    </row>
    <row r="3948" spans="1:4" x14ac:dyDescent="0.35">
      <c r="A3948" t="s">
        <v>2804</v>
      </c>
      <c r="B3948" s="8" t="s">
        <v>2805</v>
      </c>
      <c r="C3948" t="s">
        <v>7390</v>
      </c>
      <c r="D3948" s="8" t="s">
        <v>7391</v>
      </c>
    </row>
    <row r="3949" spans="1:4" x14ac:dyDescent="0.35">
      <c r="A3949" t="s">
        <v>2804</v>
      </c>
      <c r="B3949" s="8" t="s">
        <v>2805</v>
      </c>
      <c r="C3949" t="s">
        <v>7392</v>
      </c>
      <c r="D3949" s="8" t="s">
        <v>7393</v>
      </c>
    </row>
    <row r="3950" spans="1:4" x14ac:dyDescent="0.35">
      <c r="A3950" t="s">
        <v>2804</v>
      </c>
      <c r="B3950" s="8" t="s">
        <v>2805</v>
      </c>
      <c r="C3950" t="s">
        <v>7394</v>
      </c>
      <c r="D3950" s="8" t="s">
        <v>7395</v>
      </c>
    </row>
    <row r="3951" spans="1:4" x14ac:dyDescent="0.35">
      <c r="A3951" t="s">
        <v>7396</v>
      </c>
      <c r="B3951" s="8" t="s">
        <v>2806</v>
      </c>
      <c r="C3951" t="s">
        <v>7397</v>
      </c>
      <c r="D3951" s="8" t="s">
        <v>7398</v>
      </c>
    </row>
    <row r="3952" spans="1:4" x14ac:dyDescent="0.35">
      <c r="A3952" t="s">
        <v>2807</v>
      </c>
      <c r="B3952" s="8" t="s">
        <v>2808</v>
      </c>
      <c r="C3952" t="s">
        <v>6163</v>
      </c>
      <c r="D3952" s="8" t="s">
        <v>6164</v>
      </c>
    </row>
    <row r="3953" spans="1:4" x14ac:dyDescent="0.35">
      <c r="A3953" t="s">
        <v>2809</v>
      </c>
      <c r="B3953" s="8" t="s">
        <v>2810</v>
      </c>
      <c r="C3953" t="s">
        <v>7399</v>
      </c>
      <c r="D3953" s="8" t="s">
        <v>7400</v>
      </c>
    </row>
    <row r="3954" spans="1:4" x14ac:dyDescent="0.35">
      <c r="A3954" t="s">
        <v>2811</v>
      </c>
      <c r="B3954" s="8" t="s">
        <v>2812</v>
      </c>
      <c r="C3954" t="s">
        <v>7401</v>
      </c>
      <c r="D3954" s="8" t="s">
        <v>7402</v>
      </c>
    </row>
    <row r="3955" spans="1:4" x14ac:dyDescent="0.35">
      <c r="A3955" t="s">
        <v>2813</v>
      </c>
      <c r="B3955" s="8" t="s">
        <v>2814</v>
      </c>
      <c r="C3955" t="s">
        <v>7399</v>
      </c>
      <c r="D3955" s="8" t="s">
        <v>7400</v>
      </c>
    </row>
    <row r="3956" spans="1:4" x14ac:dyDescent="0.35">
      <c r="A3956" t="s">
        <v>2813</v>
      </c>
      <c r="B3956" s="8" t="s">
        <v>2814</v>
      </c>
      <c r="C3956" t="s">
        <v>7403</v>
      </c>
      <c r="D3956" s="8" t="s">
        <v>7404</v>
      </c>
    </row>
    <row r="3957" spans="1:4" x14ac:dyDescent="0.35">
      <c r="A3957" t="s">
        <v>2813</v>
      </c>
      <c r="B3957" s="8" t="s">
        <v>2814</v>
      </c>
      <c r="C3957" t="s">
        <v>7405</v>
      </c>
      <c r="D3957" s="8" t="s">
        <v>7406</v>
      </c>
    </row>
    <row r="3958" spans="1:4" x14ac:dyDescent="0.35">
      <c r="A3958" t="s">
        <v>2815</v>
      </c>
      <c r="B3958" s="8" t="s">
        <v>2816</v>
      </c>
      <c r="C3958" t="s">
        <v>7403</v>
      </c>
      <c r="D3958" s="8" t="s">
        <v>7404</v>
      </c>
    </row>
    <row r="3959" spans="1:4" x14ac:dyDescent="0.35">
      <c r="A3959" t="s">
        <v>2817</v>
      </c>
      <c r="B3959" s="8" t="s">
        <v>2818</v>
      </c>
      <c r="C3959" t="s">
        <v>6163</v>
      </c>
      <c r="D3959" s="8" t="s">
        <v>6164</v>
      </c>
    </row>
    <row r="3960" spans="1:4" x14ac:dyDescent="0.35">
      <c r="A3960" t="s">
        <v>2819</v>
      </c>
      <c r="B3960" s="8" t="s">
        <v>2820</v>
      </c>
      <c r="C3960" t="s">
        <v>6570</v>
      </c>
      <c r="D3960" s="8" t="s">
        <v>6571</v>
      </c>
    </row>
    <row r="3961" spans="1:4" x14ac:dyDescent="0.35">
      <c r="A3961" t="s">
        <v>2819</v>
      </c>
      <c r="B3961" s="8" t="s">
        <v>2820</v>
      </c>
      <c r="C3961" t="s">
        <v>7407</v>
      </c>
      <c r="D3961" s="8" t="s">
        <v>7408</v>
      </c>
    </row>
    <row r="3962" spans="1:4" x14ac:dyDescent="0.35">
      <c r="A3962" t="s">
        <v>2819</v>
      </c>
      <c r="B3962" s="8" t="s">
        <v>2820</v>
      </c>
      <c r="C3962" t="s">
        <v>7409</v>
      </c>
      <c r="D3962" s="8" t="s">
        <v>7410</v>
      </c>
    </row>
    <row r="3963" spans="1:4" x14ac:dyDescent="0.35">
      <c r="A3963" t="s">
        <v>2819</v>
      </c>
      <c r="B3963" s="8" t="s">
        <v>2820</v>
      </c>
      <c r="C3963" t="s">
        <v>7411</v>
      </c>
      <c r="D3963" s="8" t="s">
        <v>7412</v>
      </c>
    </row>
    <row r="3964" spans="1:4" x14ac:dyDescent="0.35">
      <c r="A3964" t="s">
        <v>2819</v>
      </c>
      <c r="B3964" s="8" t="s">
        <v>2820</v>
      </c>
      <c r="C3964" t="s">
        <v>6339</v>
      </c>
      <c r="D3964" s="8" t="s">
        <v>6340</v>
      </c>
    </row>
    <row r="3965" spans="1:4" x14ac:dyDescent="0.35">
      <c r="A3965" t="s">
        <v>2821</v>
      </c>
      <c r="B3965" s="8" t="s">
        <v>2822</v>
      </c>
      <c r="C3965" t="s">
        <v>6570</v>
      </c>
      <c r="D3965" s="8" t="s">
        <v>6571</v>
      </c>
    </row>
    <row r="3966" spans="1:4" x14ac:dyDescent="0.35">
      <c r="A3966" t="s">
        <v>2821</v>
      </c>
      <c r="B3966" s="8" t="s">
        <v>2822</v>
      </c>
      <c r="C3966" t="s">
        <v>7413</v>
      </c>
      <c r="D3966" s="8" t="s">
        <v>7414</v>
      </c>
    </row>
    <row r="3967" spans="1:4" x14ac:dyDescent="0.35">
      <c r="A3967" t="s">
        <v>2821</v>
      </c>
      <c r="B3967" s="8" t="s">
        <v>2822</v>
      </c>
      <c r="C3967" t="s">
        <v>6388</v>
      </c>
      <c r="D3967" s="8" t="s">
        <v>6389</v>
      </c>
    </row>
    <row r="3968" spans="1:4" x14ac:dyDescent="0.35">
      <c r="A3968" t="s">
        <v>2821</v>
      </c>
      <c r="B3968" s="8" t="s">
        <v>2822</v>
      </c>
      <c r="C3968" t="s">
        <v>7411</v>
      </c>
      <c r="D3968" s="8" t="s">
        <v>7412</v>
      </c>
    </row>
    <row r="3969" spans="1:4" x14ac:dyDescent="0.35">
      <c r="A3969" t="s">
        <v>2821</v>
      </c>
      <c r="B3969" s="8" t="s">
        <v>2822</v>
      </c>
      <c r="C3969" t="s">
        <v>6431</v>
      </c>
      <c r="D3969" s="8" t="s">
        <v>6432</v>
      </c>
    </row>
    <row r="3970" spans="1:4" x14ac:dyDescent="0.35">
      <c r="A3970" t="s">
        <v>2821</v>
      </c>
      <c r="B3970" s="8" t="s">
        <v>2822</v>
      </c>
      <c r="C3970" t="s">
        <v>6339</v>
      </c>
      <c r="D3970" s="8" t="s">
        <v>6340</v>
      </c>
    </row>
    <row r="3971" spans="1:4" x14ac:dyDescent="0.35">
      <c r="A3971" t="s">
        <v>2823</v>
      </c>
      <c r="B3971" s="8" t="s">
        <v>2824</v>
      </c>
      <c r="C3971" t="s">
        <v>6570</v>
      </c>
      <c r="D3971" s="8" t="s">
        <v>6571</v>
      </c>
    </row>
    <row r="3972" spans="1:4" x14ac:dyDescent="0.35">
      <c r="A3972" t="s">
        <v>2823</v>
      </c>
      <c r="B3972" s="8" t="s">
        <v>2824</v>
      </c>
      <c r="C3972" t="s">
        <v>7407</v>
      </c>
      <c r="D3972" s="8" t="s">
        <v>7408</v>
      </c>
    </row>
    <row r="3973" spans="1:4" x14ac:dyDescent="0.35">
      <c r="A3973" t="s">
        <v>2823</v>
      </c>
      <c r="B3973" s="8" t="s">
        <v>2824</v>
      </c>
      <c r="C3973" t="s">
        <v>7411</v>
      </c>
      <c r="D3973" s="8" t="s">
        <v>7412</v>
      </c>
    </row>
    <row r="3974" spans="1:4" x14ac:dyDescent="0.35">
      <c r="A3974" t="s">
        <v>2825</v>
      </c>
      <c r="B3974" s="8" t="s">
        <v>2826</v>
      </c>
      <c r="C3974" t="s">
        <v>6570</v>
      </c>
      <c r="D3974" s="8" t="s">
        <v>6571</v>
      </c>
    </row>
    <row r="3975" spans="1:4" x14ac:dyDescent="0.35">
      <c r="A3975" t="s">
        <v>2825</v>
      </c>
      <c r="B3975" s="8" t="s">
        <v>2826</v>
      </c>
      <c r="C3975" t="s">
        <v>7415</v>
      </c>
      <c r="D3975" s="8" t="s">
        <v>7416</v>
      </c>
    </row>
    <row r="3976" spans="1:4" x14ac:dyDescent="0.35">
      <c r="A3976" t="s">
        <v>2825</v>
      </c>
      <c r="B3976" s="8" t="s">
        <v>2826</v>
      </c>
      <c r="C3976" t="s">
        <v>7417</v>
      </c>
      <c r="D3976" s="8" t="s">
        <v>7418</v>
      </c>
    </row>
    <row r="3977" spans="1:4" x14ac:dyDescent="0.35">
      <c r="A3977" t="s">
        <v>2827</v>
      </c>
      <c r="B3977" s="8" t="s">
        <v>2828</v>
      </c>
      <c r="C3977" t="s">
        <v>6570</v>
      </c>
      <c r="D3977" s="8" t="s">
        <v>6571</v>
      </c>
    </row>
    <row r="3978" spans="1:4" x14ac:dyDescent="0.35">
      <c r="A3978" t="s">
        <v>2827</v>
      </c>
      <c r="B3978" s="8" t="s">
        <v>2828</v>
      </c>
      <c r="C3978" t="s">
        <v>7415</v>
      </c>
      <c r="D3978" s="8" t="s">
        <v>7416</v>
      </c>
    </row>
    <row r="3979" spans="1:4" x14ac:dyDescent="0.35">
      <c r="A3979" t="s">
        <v>2827</v>
      </c>
      <c r="B3979" s="8" t="s">
        <v>2828</v>
      </c>
      <c r="C3979" t="s">
        <v>7417</v>
      </c>
      <c r="D3979" s="8" t="s">
        <v>7418</v>
      </c>
    </row>
    <row r="3980" spans="1:4" x14ac:dyDescent="0.35">
      <c r="A3980" t="s">
        <v>2829</v>
      </c>
      <c r="B3980" s="8" t="s">
        <v>2830</v>
      </c>
      <c r="C3980" t="s">
        <v>6570</v>
      </c>
      <c r="D3980" s="8" t="s">
        <v>6571</v>
      </c>
    </row>
    <row r="3981" spans="1:4" x14ac:dyDescent="0.35">
      <c r="A3981" t="s">
        <v>2829</v>
      </c>
      <c r="B3981" s="8" t="s">
        <v>2830</v>
      </c>
      <c r="C3981" t="s">
        <v>7415</v>
      </c>
      <c r="D3981" s="8" t="s">
        <v>7416</v>
      </c>
    </row>
    <row r="3982" spans="1:4" x14ac:dyDescent="0.35">
      <c r="A3982" t="s">
        <v>2829</v>
      </c>
      <c r="B3982" s="8" t="s">
        <v>2830</v>
      </c>
      <c r="C3982" t="s">
        <v>7417</v>
      </c>
      <c r="D3982" s="8" t="s">
        <v>7418</v>
      </c>
    </row>
    <row r="3983" spans="1:4" x14ac:dyDescent="0.35">
      <c r="A3983" t="s">
        <v>2831</v>
      </c>
      <c r="B3983" s="8" t="s">
        <v>2832</v>
      </c>
      <c r="C3983" t="s">
        <v>6348</v>
      </c>
      <c r="D3983" s="8" t="s">
        <v>6349</v>
      </c>
    </row>
    <row r="3984" spans="1:4" x14ac:dyDescent="0.35">
      <c r="A3984" t="s">
        <v>2831</v>
      </c>
      <c r="B3984" s="8" t="s">
        <v>2832</v>
      </c>
      <c r="C3984" t="s">
        <v>6570</v>
      </c>
      <c r="D3984" s="8" t="s">
        <v>6571</v>
      </c>
    </row>
    <row r="3985" spans="1:4" x14ac:dyDescent="0.35">
      <c r="A3985" t="s">
        <v>2831</v>
      </c>
      <c r="B3985" s="8" t="s">
        <v>2832</v>
      </c>
      <c r="C3985" t="s">
        <v>6742</v>
      </c>
      <c r="D3985" s="8" t="s">
        <v>6743</v>
      </c>
    </row>
    <row r="3986" spans="1:4" x14ac:dyDescent="0.35">
      <c r="A3986" t="s">
        <v>2831</v>
      </c>
      <c r="B3986" s="8" t="s">
        <v>2832</v>
      </c>
      <c r="C3986" t="s">
        <v>6431</v>
      </c>
      <c r="D3986" s="8" t="s">
        <v>6432</v>
      </c>
    </row>
    <row r="3987" spans="1:4" x14ac:dyDescent="0.35">
      <c r="A3987" t="s">
        <v>2831</v>
      </c>
      <c r="B3987" s="8" t="s">
        <v>2832</v>
      </c>
      <c r="C3987" t="s">
        <v>7419</v>
      </c>
      <c r="D3987" s="8" t="s">
        <v>7420</v>
      </c>
    </row>
    <row r="3988" spans="1:4" x14ac:dyDescent="0.35">
      <c r="A3988" t="s">
        <v>2831</v>
      </c>
      <c r="B3988" s="8" t="s">
        <v>2832</v>
      </c>
      <c r="C3988" t="s">
        <v>7421</v>
      </c>
      <c r="D3988" s="8" t="s">
        <v>7422</v>
      </c>
    </row>
    <row r="3989" spans="1:4" x14ac:dyDescent="0.35">
      <c r="A3989" t="s">
        <v>2833</v>
      </c>
      <c r="B3989" s="8" t="s">
        <v>2834</v>
      </c>
      <c r="C3989" t="s">
        <v>7411</v>
      </c>
      <c r="D3989" s="8" t="s">
        <v>7412</v>
      </c>
    </row>
    <row r="3990" spans="1:4" x14ac:dyDescent="0.35">
      <c r="A3990" t="s">
        <v>2833</v>
      </c>
      <c r="B3990" s="8" t="s">
        <v>2834</v>
      </c>
      <c r="C3990" t="s">
        <v>6742</v>
      </c>
      <c r="D3990" s="8" t="s">
        <v>6743</v>
      </c>
    </row>
    <row r="3991" spans="1:4" x14ac:dyDescent="0.35">
      <c r="A3991" t="s">
        <v>2833</v>
      </c>
      <c r="B3991" s="8" t="s">
        <v>2834</v>
      </c>
      <c r="C3991" t="s">
        <v>6431</v>
      </c>
      <c r="D3991" s="8" t="s">
        <v>6432</v>
      </c>
    </row>
    <row r="3992" spans="1:4" x14ac:dyDescent="0.35">
      <c r="A3992" t="s">
        <v>2835</v>
      </c>
      <c r="B3992" s="8" t="s">
        <v>2836</v>
      </c>
      <c r="C3992" t="s">
        <v>6570</v>
      </c>
      <c r="D3992" s="8" t="s">
        <v>6571</v>
      </c>
    </row>
    <row r="3993" spans="1:4" x14ac:dyDescent="0.35">
      <c r="A3993" t="s">
        <v>2835</v>
      </c>
      <c r="B3993" s="8" t="s">
        <v>2836</v>
      </c>
      <c r="C3993" t="s">
        <v>6742</v>
      </c>
      <c r="D3993" s="8" t="s">
        <v>6743</v>
      </c>
    </row>
    <row r="3994" spans="1:4" x14ac:dyDescent="0.35">
      <c r="A3994" t="s">
        <v>2835</v>
      </c>
      <c r="B3994" s="8" t="s">
        <v>2836</v>
      </c>
      <c r="C3994" t="s">
        <v>6431</v>
      </c>
      <c r="D3994" s="8" t="s">
        <v>6432</v>
      </c>
    </row>
    <row r="3995" spans="1:4" x14ac:dyDescent="0.35">
      <c r="A3995" t="s">
        <v>2835</v>
      </c>
      <c r="B3995" s="8" t="s">
        <v>2836</v>
      </c>
      <c r="C3995" t="s">
        <v>7421</v>
      </c>
      <c r="D3995" s="8" t="s">
        <v>7422</v>
      </c>
    </row>
    <row r="3996" spans="1:4" x14ac:dyDescent="0.35">
      <c r="A3996" t="s">
        <v>2837</v>
      </c>
      <c r="B3996" s="8" t="s">
        <v>2838</v>
      </c>
      <c r="C3996" t="s">
        <v>6570</v>
      </c>
      <c r="D3996" s="8" t="s">
        <v>6571</v>
      </c>
    </row>
    <row r="3997" spans="1:4" x14ac:dyDescent="0.35">
      <c r="A3997" t="s">
        <v>2837</v>
      </c>
      <c r="B3997" s="8" t="s">
        <v>2838</v>
      </c>
      <c r="C3997" t="s">
        <v>6339</v>
      </c>
      <c r="D3997" s="8" t="s">
        <v>6340</v>
      </c>
    </row>
    <row r="3998" spans="1:4" x14ac:dyDescent="0.35">
      <c r="A3998" t="s">
        <v>2839</v>
      </c>
      <c r="B3998" s="8" t="s">
        <v>2840</v>
      </c>
      <c r="C3998" t="s">
        <v>6570</v>
      </c>
      <c r="D3998" s="8" t="s">
        <v>6571</v>
      </c>
    </row>
    <row r="3999" spans="1:4" x14ac:dyDescent="0.35">
      <c r="A3999" t="s">
        <v>2839</v>
      </c>
      <c r="B3999" s="8" t="s">
        <v>2840</v>
      </c>
      <c r="C3999" t="s">
        <v>6784</v>
      </c>
      <c r="D3999" s="8" t="s">
        <v>6785</v>
      </c>
    </row>
    <row r="4000" spans="1:4" x14ac:dyDescent="0.35">
      <c r="A4000" t="s">
        <v>2841</v>
      </c>
      <c r="B4000" s="8" t="s">
        <v>2842</v>
      </c>
      <c r="C4000" t="s">
        <v>6280</v>
      </c>
      <c r="D4000" s="8" t="s">
        <v>6281</v>
      </c>
    </row>
    <row r="4001" spans="1:4" x14ac:dyDescent="0.35">
      <c r="A4001" t="s">
        <v>2841</v>
      </c>
      <c r="B4001" s="8" t="s">
        <v>2842</v>
      </c>
      <c r="C4001" t="s">
        <v>6291</v>
      </c>
      <c r="D4001" s="8" t="s">
        <v>6292</v>
      </c>
    </row>
    <row r="4002" spans="1:4" x14ac:dyDescent="0.35">
      <c r="A4002" t="s">
        <v>2843</v>
      </c>
      <c r="B4002" s="8" t="s">
        <v>2844</v>
      </c>
      <c r="C4002" t="s">
        <v>6348</v>
      </c>
      <c r="D4002" s="8" t="s">
        <v>6349</v>
      </c>
    </row>
    <row r="4003" spans="1:4" x14ac:dyDescent="0.35">
      <c r="A4003" t="s">
        <v>2843</v>
      </c>
      <c r="B4003" s="8" t="s">
        <v>2844</v>
      </c>
      <c r="C4003" t="s">
        <v>6570</v>
      </c>
      <c r="D4003" s="8" t="s">
        <v>6571</v>
      </c>
    </row>
    <row r="4004" spans="1:4" x14ac:dyDescent="0.35">
      <c r="A4004" t="s">
        <v>2843</v>
      </c>
      <c r="B4004" s="8" t="s">
        <v>2844</v>
      </c>
      <c r="C4004" t="s">
        <v>7413</v>
      </c>
      <c r="D4004" s="8" t="s">
        <v>7414</v>
      </c>
    </row>
    <row r="4005" spans="1:4" x14ac:dyDescent="0.35">
      <c r="A4005" t="s">
        <v>2843</v>
      </c>
      <c r="B4005" s="8" t="s">
        <v>2844</v>
      </c>
      <c r="C4005" t="s">
        <v>6388</v>
      </c>
      <c r="D4005" s="8" t="s">
        <v>6389</v>
      </c>
    </row>
    <row r="4006" spans="1:4" x14ac:dyDescent="0.35">
      <c r="A4006" t="s">
        <v>2843</v>
      </c>
      <c r="B4006" s="8" t="s">
        <v>2844</v>
      </c>
      <c r="C4006" t="s">
        <v>7411</v>
      </c>
      <c r="D4006" s="8" t="s">
        <v>7412</v>
      </c>
    </row>
    <row r="4007" spans="1:4" x14ac:dyDescent="0.35">
      <c r="A4007" t="s">
        <v>2843</v>
      </c>
      <c r="B4007" s="8" t="s">
        <v>2844</v>
      </c>
      <c r="C4007" t="s">
        <v>6431</v>
      </c>
      <c r="D4007" s="8" t="s">
        <v>6432</v>
      </c>
    </row>
    <row r="4008" spans="1:4" x14ac:dyDescent="0.35">
      <c r="A4008" t="s">
        <v>2845</v>
      </c>
      <c r="B4008" s="8" t="s">
        <v>2846</v>
      </c>
      <c r="C4008" t="s">
        <v>6570</v>
      </c>
      <c r="D4008" s="8" t="s">
        <v>6571</v>
      </c>
    </row>
    <row r="4009" spans="1:4" x14ac:dyDescent="0.35">
      <c r="A4009" t="s">
        <v>2845</v>
      </c>
      <c r="B4009" s="8" t="s">
        <v>2846</v>
      </c>
      <c r="C4009" t="s">
        <v>7411</v>
      </c>
      <c r="D4009" s="8" t="s">
        <v>7412</v>
      </c>
    </row>
    <row r="4010" spans="1:4" x14ac:dyDescent="0.35">
      <c r="A4010" t="s">
        <v>2845</v>
      </c>
      <c r="B4010" s="8" t="s">
        <v>2846</v>
      </c>
      <c r="C4010" t="s">
        <v>7419</v>
      </c>
      <c r="D4010" s="8" t="s">
        <v>7420</v>
      </c>
    </row>
    <row r="4011" spans="1:4" x14ac:dyDescent="0.35">
      <c r="A4011" t="s">
        <v>2845</v>
      </c>
      <c r="B4011" s="8" t="s">
        <v>2846</v>
      </c>
      <c r="C4011" t="s">
        <v>7421</v>
      </c>
      <c r="D4011" s="8" t="s">
        <v>7422</v>
      </c>
    </row>
    <row r="4012" spans="1:4" x14ac:dyDescent="0.35">
      <c r="A4012" t="s">
        <v>2847</v>
      </c>
      <c r="B4012" s="8" t="s">
        <v>2848</v>
      </c>
      <c r="C4012" t="s">
        <v>6483</v>
      </c>
      <c r="D4012" s="8" t="s">
        <v>6484</v>
      </c>
    </row>
    <row r="4013" spans="1:4" x14ac:dyDescent="0.35">
      <c r="A4013" t="s">
        <v>2847</v>
      </c>
      <c r="B4013" s="8" t="s">
        <v>2848</v>
      </c>
      <c r="C4013" t="s">
        <v>6388</v>
      </c>
      <c r="D4013" s="8" t="s">
        <v>6389</v>
      </c>
    </row>
    <row r="4014" spans="1:4" x14ac:dyDescent="0.35">
      <c r="A4014" t="s">
        <v>2849</v>
      </c>
      <c r="B4014" s="8" t="s">
        <v>2850</v>
      </c>
      <c r="C4014" t="s">
        <v>6163</v>
      </c>
      <c r="D4014" s="8" t="s">
        <v>6164</v>
      </c>
    </row>
    <row r="4015" spans="1:4" x14ac:dyDescent="0.35">
      <c r="A4015" t="s">
        <v>2851</v>
      </c>
      <c r="B4015" s="8" t="s">
        <v>2852</v>
      </c>
      <c r="C4015" t="s">
        <v>6570</v>
      </c>
      <c r="D4015" s="8" t="s">
        <v>6571</v>
      </c>
    </row>
    <row r="4016" spans="1:4" x14ac:dyDescent="0.35">
      <c r="A4016" t="s">
        <v>2851</v>
      </c>
      <c r="B4016" s="8" t="s">
        <v>2852</v>
      </c>
      <c r="C4016" t="s">
        <v>7423</v>
      </c>
      <c r="D4016" s="8" t="s">
        <v>7424</v>
      </c>
    </row>
    <row r="4017" spans="1:4" x14ac:dyDescent="0.35">
      <c r="A4017" t="s">
        <v>2851</v>
      </c>
      <c r="B4017" s="8" t="s">
        <v>2852</v>
      </c>
      <c r="C4017" t="s">
        <v>6346</v>
      </c>
      <c r="D4017" s="8" t="s">
        <v>6347</v>
      </c>
    </row>
    <row r="4018" spans="1:4" x14ac:dyDescent="0.35">
      <c r="A4018" t="s">
        <v>2851</v>
      </c>
      <c r="B4018" s="8" t="s">
        <v>2852</v>
      </c>
      <c r="C4018" t="s">
        <v>6364</v>
      </c>
      <c r="D4018" s="8" t="s">
        <v>6365</v>
      </c>
    </row>
    <row r="4019" spans="1:4" x14ac:dyDescent="0.35">
      <c r="A4019" t="s">
        <v>2853</v>
      </c>
      <c r="B4019" s="8" t="s">
        <v>2854</v>
      </c>
      <c r="C4019" t="s">
        <v>6570</v>
      </c>
      <c r="D4019" s="8" t="s">
        <v>6571</v>
      </c>
    </row>
    <row r="4020" spans="1:4" x14ac:dyDescent="0.35">
      <c r="A4020" t="s">
        <v>2853</v>
      </c>
      <c r="B4020" s="8" t="s">
        <v>2854</v>
      </c>
      <c r="C4020" t="s">
        <v>7419</v>
      </c>
      <c r="D4020" s="8" t="s">
        <v>7420</v>
      </c>
    </row>
    <row r="4021" spans="1:4" x14ac:dyDescent="0.35">
      <c r="A4021" t="s">
        <v>2855</v>
      </c>
      <c r="B4021" s="8" t="s">
        <v>2856</v>
      </c>
      <c r="C4021" t="s">
        <v>6570</v>
      </c>
      <c r="D4021" s="8" t="s">
        <v>6571</v>
      </c>
    </row>
    <row r="4022" spans="1:4" x14ac:dyDescent="0.35">
      <c r="A4022" t="s">
        <v>2855</v>
      </c>
      <c r="B4022" s="8" t="s">
        <v>2856</v>
      </c>
      <c r="C4022" t="s">
        <v>6333</v>
      </c>
      <c r="D4022" s="8" t="s">
        <v>6334</v>
      </c>
    </row>
    <row r="4023" spans="1:4" x14ac:dyDescent="0.35">
      <c r="A4023" t="s">
        <v>2857</v>
      </c>
      <c r="B4023" s="8" t="s">
        <v>2858</v>
      </c>
      <c r="C4023" t="s">
        <v>6570</v>
      </c>
      <c r="D4023" s="8" t="s">
        <v>6571</v>
      </c>
    </row>
    <row r="4024" spans="1:4" x14ac:dyDescent="0.35">
      <c r="A4024" t="s">
        <v>2859</v>
      </c>
      <c r="B4024" s="8" t="s">
        <v>2860</v>
      </c>
      <c r="C4024" t="s">
        <v>6570</v>
      </c>
      <c r="D4024" s="8" t="s">
        <v>6571</v>
      </c>
    </row>
    <row r="4025" spans="1:4" x14ac:dyDescent="0.35">
      <c r="A4025" t="s">
        <v>2859</v>
      </c>
      <c r="B4025" s="8" t="s">
        <v>2860</v>
      </c>
      <c r="C4025" t="s">
        <v>7423</v>
      </c>
      <c r="D4025" s="8" t="s">
        <v>7424</v>
      </c>
    </row>
    <row r="4026" spans="1:4" x14ac:dyDescent="0.35">
      <c r="A4026" t="s">
        <v>2861</v>
      </c>
      <c r="B4026" s="8" t="s">
        <v>2862</v>
      </c>
      <c r="C4026" t="s">
        <v>6570</v>
      </c>
      <c r="D4026" s="8" t="s">
        <v>6571</v>
      </c>
    </row>
    <row r="4027" spans="1:4" x14ac:dyDescent="0.35">
      <c r="A4027" t="s">
        <v>2861</v>
      </c>
      <c r="B4027" s="8" t="s">
        <v>2862</v>
      </c>
      <c r="C4027" t="s">
        <v>7423</v>
      </c>
      <c r="D4027" s="8" t="s">
        <v>7424</v>
      </c>
    </row>
    <row r="4028" spans="1:4" x14ac:dyDescent="0.35">
      <c r="A4028" t="s">
        <v>2861</v>
      </c>
      <c r="B4028" s="8" t="s">
        <v>2862</v>
      </c>
      <c r="C4028" t="s">
        <v>6346</v>
      </c>
      <c r="D4028" s="8" t="s">
        <v>6347</v>
      </c>
    </row>
    <row r="4029" spans="1:4" x14ac:dyDescent="0.35">
      <c r="A4029" t="s">
        <v>2861</v>
      </c>
      <c r="B4029" s="8" t="s">
        <v>2862</v>
      </c>
      <c r="C4029" t="s">
        <v>6364</v>
      </c>
      <c r="D4029" s="8" t="s">
        <v>6365</v>
      </c>
    </row>
    <row r="4030" spans="1:4" x14ac:dyDescent="0.35">
      <c r="A4030" t="s">
        <v>2863</v>
      </c>
      <c r="B4030" s="8" t="s">
        <v>2864</v>
      </c>
      <c r="C4030" t="s">
        <v>6570</v>
      </c>
      <c r="D4030" s="8" t="s">
        <v>6571</v>
      </c>
    </row>
    <row r="4031" spans="1:4" x14ac:dyDescent="0.35">
      <c r="A4031" t="s">
        <v>2863</v>
      </c>
      <c r="B4031" s="8" t="s">
        <v>2864</v>
      </c>
      <c r="C4031" t="s">
        <v>7423</v>
      </c>
      <c r="D4031" s="8" t="s">
        <v>7424</v>
      </c>
    </row>
    <row r="4032" spans="1:4" x14ac:dyDescent="0.35">
      <c r="A4032" t="s">
        <v>2863</v>
      </c>
      <c r="B4032" s="8" t="s">
        <v>2864</v>
      </c>
      <c r="C4032" t="s">
        <v>6346</v>
      </c>
      <c r="D4032" s="8" t="s">
        <v>6347</v>
      </c>
    </row>
    <row r="4033" spans="1:4" x14ac:dyDescent="0.35">
      <c r="A4033" t="s">
        <v>2863</v>
      </c>
      <c r="B4033" s="8" t="s">
        <v>2864</v>
      </c>
      <c r="C4033" t="s">
        <v>7415</v>
      </c>
      <c r="D4033" s="8" t="s">
        <v>7416</v>
      </c>
    </row>
    <row r="4034" spans="1:4" x14ac:dyDescent="0.35">
      <c r="A4034" t="s">
        <v>2863</v>
      </c>
      <c r="B4034" s="8" t="s">
        <v>2864</v>
      </c>
      <c r="C4034" t="s">
        <v>7417</v>
      </c>
      <c r="D4034" s="8" t="s">
        <v>7418</v>
      </c>
    </row>
    <row r="4035" spans="1:4" x14ac:dyDescent="0.35">
      <c r="A4035" t="s">
        <v>2863</v>
      </c>
      <c r="B4035" s="8" t="s">
        <v>2864</v>
      </c>
      <c r="C4035" t="s">
        <v>7003</v>
      </c>
      <c r="D4035" s="8" t="s">
        <v>7004</v>
      </c>
    </row>
    <row r="4036" spans="1:4" x14ac:dyDescent="0.35">
      <c r="A4036" t="s">
        <v>2863</v>
      </c>
      <c r="B4036" s="8" t="s">
        <v>2864</v>
      </c>
      <c r="C4036" t="s">
        <v>7425</v>
      </c>
      <c r="D4036" s="8" t="s">
        <v>7426</v>
      </c>
    </row>
    <row r="4037" spans="1:4" x14ac:dyDescent="0.35">
      <c r="A4037" t="s">
        <v>2865</v>
      </c>
      <c r="B4037" s="8" t="s">
        <v>2866</v>
      </c>
      <c r="C4037" t="s">
        <v>6570</v>
      </c>
      <c r="D4037" s="8" t="s">
        <v>6571</v>
      </c>
    </row>
    <row r="4038" spans="1:4" x14ac:dyDescent="0.35">
      <c r="A4038" t="s">
        <v>2865</v>
      </c>
      <c r="B4038" s="8" t="s">
        <v>2866</v>
      </c>
      <c r="C4038" t="s">
        <v>6784</v>
      </c>
      <c r="D4038" s="8" t="s">
        <v>6785</v>
      </c>
    </row>
    <row r="4039" spans="1:4" x14ac:dyDescent="0.35">
      <c r="A4039" t="s">
        <v>7427</v>
      </c>
      <c r="B4039" s="8" t="s">
        <v>2867</v>
      </c>
      <c r="C4039" t="s">
        <v>6570</v>
      </c>
      <c r="D4039" s="8" t="s">
        <v>6571</v>
      </c>
    </row>
    <row r="4040" spans="1:4" x14ac:dyDescent="0.35">
      <c r="A4040" t="s">
        <v>7427</v>
      </c>
      <c r="B4040" s="8" t="s">
        <v>2867</v>
      </c>
      <c r="C4040" t="s">
        <v>7423</v>
      </c>
      <c r="D4040" s="8" t="s">
        <v>7424</v>
      </c>
    </row>
    <row r="4041" spans="1:4" x14ac:dyDescent="0.35">
      <c r="A4041" t="s">
        <v>7427</v>
      </c>
      <c r="B4041" s="8" t="s">
        <v>2867</v>
      </c>
      <c r="C4041" t="s">
        <v>6333</v>
      </c>
      <c r="D4041" s="8" t="s">
        <v>6334</v>
      </c>
    </row>
    <row r="4042" spans="1:4" x14ac:dyDescent="0.35">
      <c r="A4042" t="s">
        <v>7428</v>
      </c>
      <c r="B4042" s="8" t="s">
        <v>2868</v>
      </c>
      <c r="C4042" t="s">
        <v>6570</v>
      </c>
      <c r="D4042" s="8" t="s">
        <v>6571</v>
      </c>
    </row>
    <row r="4043" spans="1:4" x14ac:dyDescent="0.35">
      <c r="A4043" t="s">
        <v>7428</v>
      </c>
      <c r="B4043" s="8" t="s">
        <v>2868</v>
      </c>
      <c r="C4043" t="s">
        <v>7423</v>
      </c>
      <c r="D4043" s="8" t="s">
        <v>7424</v>
      </c>
    </row>
    <row r="4044" spans="1:4" x14ac:dyDescent="0.35">
      <c r="A4044" t="s">
        <v>7428</v>
      </c>
      <c r="B4044" s="8" t="s">
        <v>2868</v>
      </c>
      <c r="C4044" t="s">
        <v>6346</v>
      </c>
      <c r="D4044" s="8" t="s">
        <v>6347</v>
      </c>
    </row>
    <row r="4045" spans="1:4" x14ac:dyDescent="0.35">
      <c r="A4045" t="s">
        <v>7428</v>
      </c>
      <c r="B4045" s="8" t="s">
        <v>2868</v>
      </c>
      <c r="C4045" t="s">
        <v>7415</v>
      </c>
      <c r="D4045" s="8" t="s">
        <v>7416</v>
      </c>
    </row>
    <row r="4046" spans="1:4" x14ac:dyDescent="0.35">
      <c r="A4046" t="s">
        <v>7428</v>
      </c>
      <c r="B4046" s="8" t="s">
        <v>2868</v>
      </c>
      <c r="C4046" t="s">
        <v>7417</v>
      </c>
      <c r="D4046" s="8" t="s">
        <v>7418</v>
      </c>
    </row>
    <row r="4047" spans="1:4" x14ac:dyDescent="0.35">
      <c r="A4047" t="s">
        <v>7428</v>
      </c>
      <c r="B4047" s="8" t="s">
        <v>2868</v>
      </c>
      <c r="C4047" t="s">
        <v>6364</v>
      </c>
      <c r="D4047" s="8" t="s">
        <v>6365</v>
      </c>
    </row>
    <row r="4048" spans="1:4" x14ac:dyDescent="0.35">
      <c r="A4048" t="s">
        <v>2869</v>
      </c>
      <c r="B4048" s="8" t="s">
        <v>2870</v>
      </c>
      <c r="C4048" t="s">
        <v>6570</v>
      </c>
      <c r="D4048" s="8" t="s">
        <v>6571</v>
      </c>
    </row>
    <row r="4049" spans="1:4" x14ac:dyDescent="0.35">
      <c r="A4049" t="s">
        <v>2869</v>
      </c>
      <c r="B4049" s="8" t="s">
        <v>2870</v>
      </c>
      <c r="C4049" t="s">
        <v>7423</v>
      </c>
      <c r="D4049" s="8" t="s">
        <v>7424</v>
      </c>
    </row>
    <row r="4050" spans="1:4" x14ac:dyDescent="0.35">
      <c r="A4050" t="s">
        <v>2869</v>
      </c>
      <c r="B4050" s="8" t="s">
        <v>2870</v>
      </c>
      <c r="C4050" t="s">
        <v>6346</v>
      </c>
      <c r="D4050" s="8" t="s">
        <v>6347</v>
      </c>
    </row>
    <row r="4051" spans="1:4" x14ac:dyDescent="0.35">
      <c r="A4051" t="s">
        <v>2869</v>
      </c>
      <c r="B4051" s="8" t="s">
        <v>2870</v>
      </c>
      <c r="C4051" t="s">
        <v>6364</v>
      </c>
      <c r="D4051" s="8" t="s">
        <v>6365</v>
      </c>
    </row>
    <row r="4052" spans="1:4" x14ac:dyDescent="0.35">
      <c r="A4052" t="s">
        <v>2869</v>
      </c>
      <c r="B4052" s="8" t="s">
        <v>2870</v>
      </c>
      <c r="C4052" t="s">
        <v>7429</v>
      </c>
      <c r="D4052" s="8" t="s">
        <v>7430</v>
      </c>
    </row>
    <row r="4053" spans="1:4" x14ac:dyDescent="0.35">
      <c r="A4053" t="s">
        <v>2871</v>
      </c>
      <c r="B4053" s="8" t="s">
        <v>2873</v>
      </c>
      <c r="C4053" t="s">
        <v>6570</v>
      </c>
      <c r="D4053" s="8" t="s">
        <v>6571</v>
      </c>
    </row>
    <row r="4054" spans="1:4" x14ac:dyDescent="0.35">
      <c r="A4054" t="s">
        <v>2871</v>
      </c>
      <c r="B4054" s="8" t="s">
        <v>2873</v>
      </c>
      <c r="C4054" t="s">
        <v>6346</v>
      </c>
      <c r="D4054" s="8" t="s">
        <v>6347</v>
      </c>
    </row>
    <row r="4055" spans="1:4" x14ac:dyDescent="0.35">
      <c r="A4055" t="s">
        <v>2874</v>
      </c>
      <c r="B4055" s="8" t="s">
        <v>2875</v>
      </c>
      <c r="C4055" t="s">
        <v>6570</v>
      </c>
      <c r="D4055" s="8" t="s">
        <v>6571</v>
      </c>
    </row>
    <row r="4056" spans="1:4" x14ac:dyDescent="0.35">
      <c r="A4056" t="s">
        <v>2874</v>
      </c>
      <c r="B4056" s="8" t="s">
        <v>2875</v>
      </c>
      <c r="C4056" t="s">
        <v>6346</v>
      </c>
      <c r="D4056" s="8" t="s">
        <v>6347</v>
      </c>
    </row>
    <row r="4057" spans="1:4" x14ac:dyDescent="0.35">
      <c r="A4057" t="s">
        <v>2874</v>
      </c>
      <c r="B4057" s="8" t="s">
        <v>2875</v>
      </c>
      <c r="C4057" t="s">
        <v>6375</v>
      </c>
      <c r="D4057" s="8" t="s">
        <v>6376</v>
      </c>
    </row>
    <row r="4058" spans="1:4" x14ac:dyDescent="0.35">
      <c r="A4058" t="s">
        <v>2874</v>
      </c>
      <c r="B4058" s="8" t="s">
        <v>2875</v>
      </c>
      <c r="C4058" t="s">
        <v>6341</v>
      </c>
      <c r="D4058" s="8" t="s">
        <v>6342</v>
      </c>
    </row>
    <row r="4059" spans="1:4" x14ac:dyDescent="0.35">
      <c r="A4059" t="s">
        <v>2876</v>
      </c>
      <c r="B4059" s="8" t="s">
        <v>2877</v>
      </c>
      <c r="C4059" t="s">
        <v>6570</v>
      </c>
      <c r="D4059" s="8" t="s">
        <v>6571</v>
      </c>
    </row>
    <row r="4060" spans="1:4" x14ac:dyDescent="0.35">
      <c r="A4060" t="s">
        <v>2876</v>
      </c>
      <c r="B4060" s="8" t="s">
        <v>2877</v>
      </c>
      <c r="C4060" t="s">
        <v>6339</v>
      </c>
      <c r="D4060" s="8" t="s">
        <v>6340</v>
      </c>
    </row>
    <row r="4061" spans="1:4" x14ac:dyDescent="0.35">
      <c r="A4061" t="s">
        <v>2878</v>
      </c>
      <c r="B4061" s="8" t="s">
        <v>2879</v>
      </c>
      <c r="C4061" t="s">
        <v>6570</v>
      </c>
      <c r="D4061" s="8" t="s">
        <v>6571</v>
      </c>
    </row>
    <row r="4062" spans="1:4" x14ac:dyDescent="0.35">
      <c r="A4062" t="s">
        <v>2878</v>
      </c>
      <c r="B4062" s="8" t="s">
        <v>2879</v>
      </c>
      <c r="C4062" t="s">
        <v>6325</v>
      </c>
      <c r="D4062" s="8" t="s">
        <v>6326</v>
      </c>
    </row>
    <row r="4063" spans="1:4" x14ac:dyDescent="0.35">
      <c r="A4063" t="s">
        <v>2878</v>
      </c>
      <c r="B4063" s="8" t="s">
        <v>2879</v>
      </c>
      <c r="C4063" t="s">
        <v>6346</v>
      </c>
      <c r="D4063" s="8" t="s">
        <v>6347</v>
      </c>
    </row>
    <row r="4064" spans="1:4" x14ac:dyDescent="0.35">
      <c r="A4064" t="s">
        <v>2878</v>
      </c>
      <c r="B4064" s="8" t="s">
        <v>2879</v>
      </c>
      <c r="C4064" t="s">
        <v>6375</v>
      </c>
      <c r="D4064" s="8" t="s">
        <v>6376</v>
      </c>
    </row>
    <row r="4065" spans="1:4" x14ac:dyDescent="0.35">
      <c r="A4065" t="s">
        <v>2878</v>
      </c>
      <c r="B4065" s="8" t="s">
        <v>2879</v>
      </c>
      <c r="C4065" t="s">
        <v>6341</v>
      </c>
      <c r="D4065" s="8" t="s">
        <v>6342</v>
      </c>
    </row>
    <row r="4066" spans="1:4" x14ac:dyDescent="0.35">
      <c r="A4066" t="s">
        <v>2880</v>
      </c>
      <c r="B4066" s="8" t="s">
        <v>2881</v>
      </c>
      <c r="C4066" t="s">
        <v>6570</v>
      </c>
      <c r="D4066" s="8" t="s">
        <v>6571</v>
      </c>
    </row>
    <row r="4067" spans="1:4" x14ac:dyDescent="0.35">
      <c r="A4067" t="s">
        <v>2882</v>
      </c>
      <c r="B4067" s="8" t="s">
        <v>2883</v>
      </c>
      <c r="C4067" t="s">
        <v>6570</v>
      </c>
      <c r="D4067" s="8" t="s">
        <v>6571</v>
      </c>
    </row>
    <row r="4068" spans="1:4" x14ac:dyDescent="0.35">
      <c r="A4068" t="s">
        <v>2882</v>
      </c>
      <c r="B4068" s="8" t="s">
        <v>2883</v>
      </c>
      <c r="C4068" t="s">
        <v>6514</v>
      </c>
      <c r="D4068" s="8" t="s">
        <v>6515</v>
      </c>
    </row>
    <row r="4069" spans="1:4" x14ac:dyDescent="0.35">
      <c r="A4069" t="s">
        <v>2882</v>
      </c>
      <c r="B4069" s="8" t="s">
        <v>2883</v>
      </c>
      <c r="C4069" t="s">
        <v>7407</v>
      </c>
      <c r="D4069" s="8" t="s">
        <v>7408</v>
      </c>
    </row>
    <row r="4070" spans="1:4" x14ac:dyDescent="0.35">
      <c r="A4070" t="s">
        <v>2882</v>
      </c>
      <c r="B4070" s="8" t="s">
        <v>2883</v>
      </c>
      <c r="C4070" t="s">
        <v>7409</v>
      </c>
      <c r="D4070" s="8" t="s">
        <v>7410</v>
      </c>
    </row>
    <row r="4071" spans="1:4" x14ac:dyDescent="0.35">
      <c r="A4071" t="s">
        <v>2882</v>
      </c>
      <c r="B4071" s="8" t="s">
        <v>2883</v>
      </c>
      <c r="C4071" t="s">
        <v>6339</v>
      </c>
      <c r="D4071" s="8" t="s">
        <v>6340</v>
      </c>
    </row>
    <row r="4072" spans="1:4" x14ac:dyDescent="0.35">
      <c r="A4072" t="s">
        <v>2884</v>
      </c>
      <c r="B4072" s="8" t="s">
        <v>2885</v>
      </c>
      <c r="C4072" t="s">
        <v>6570</v>
      </c>
      <c r="D4072" s="8" t="s">
        <v>6571</v>
      </c>
    </row>
    <row r="4073" spans="1:4" x14ac:dyDescent="0.35">
      <c r="A4073" t="s">
        <v>2884</v>
      </c>
      <c r="B4073" s="8" t="s">
        <v>2885</v>
      </c>
      <c r="C4073" t="s">
        <v>7409</v>
      </c>
      <c r="D4073" s="8" t="s">
        <v>7410</v>
      </c>
    </row>
    <row r="4074" spans="1:4" x14ac:dyDescent="0.35">
      <c r="A4074" t="s">
        <v>2884</v>
      </c>
      <c r="B4074" s="8" t="s">
        <v>2885</v>
      </c>
      <c r="C4074" t="s">
        <v>7411</v>
      </c>
      <c r="D4074" s="8" t="s">
        <v>7412</v>
      </c>
    </row>
    <row r="4075" spans="1:4" x14ac:dyDescent="0.35">
      <c r="A4075" t="s">
        <v>2886</v>
      </c>
      <c r="B4075" s="8" t="s">
        <v>2887</v>
      </c>
      <c r="C4075" t="s">
        <v>7431</v>
      </c>
      <c r="D4075" s="8" t="s">
        <v>7432</v>
      </c>
    </row>
    <row r="4076" spans="1:4" x14ac:dyDescent="0.35">
      <c r="A4076" t="s">
        <v>2886</v>
      </c>
      <c r="B4076" s="8" t="s">
        <v>2887</v>
      </c>
      <c r="C4076" t="s">
        <v>6570</v>
      </c>
      <c r="D4076" s="8" t="s">
        <v>6571</v>
      </c>
    </row>
    <row r="4077" spans="1:4" x14ac:dyDescent="0.35">
      <c r="A4077" t="s">
        <v>2886</v>
      </c>
      <c r="B4077" s="8" t="s">
        <v>2887</v>
      </c>
      <c r="C4077" t="s">
        <v>6829</v>
      </c>
      <c r="D4077" s="8" t="s">
        <v>6830</v>
      </c>
    </row>
    <row r="4078" spans="1:4" x14ac:dyDescent="0.35">
      <c r="A4078" t="s">
        <v>2886</v>
      </c>
      <c r="B4078" s="8" t="s">
        <v>2887</v>
      </c>
      <c r="C4078" t="s">
        <v>6894</v>
      </c>
      <c r="D4078" s="8" t="s">
        <v>6895</v>
      </c>
    </row>
    <row r="4079" spans="1:4" x14ac:dyDescent="0.35">
      <c r="A4079" t="s">
        <v>2886</v>
      </c>
      <c r="B4079" s="8" t="s">
        <v>2887</v>
      </c>
      <c r="C4079" t="s">
        <v>6896</v>
      </c>
      <c r="D4079" s="8" t="s">
        <v>6897</v>
      </c>
    </row>
    <row r="4080" spans="1:4" x14ac:dyDescent="0.35">
      <c r="A4080" t="s">
        <v>2888</v>
      </c>
      <c r="B4080" s="8" t="s">
        <v>2889</v>
      </c>
      <c r="C4080" t="s">
        <v>6570</v>
      </c>
      <c r="D4080" s="8" t="s">
        <v>6571</v>
      </c>
    </row>
    <row r="4081" spans="1:4" x14ac:dyDescent="0.35">
      <c r="A4081" t="s">
        <v>2888</v>
      </c>
      <c r="B4081" s="8" t="s">
        <v>2889</v>
      </c>
      <c r="C4081" t="s">
        <v>7407</v>
      </c>
      <c r="D4081" s="8" t="s">
        <v>7408</v>
      </c>
    </row>
    <row r="4082" spans="1:4" x14ac:dyDescent="0.35">
      <c r="A4082" t="s">
        <v>2888</v>
      </c>
      <c r="B4082" s="8" t="s">
        <v>2889</v>
      </c>
      <c r="C4082" t="s">
        <v>7409</v>
      </c>
      <c r="D4082" s="8" t="s">
        <v>7410</v>
      </c>
    </row>
    <row r="4083" spans="1:4" x14ac:dyDescent="0.35">
      <c r="A4083" t="s">
        <v>2888</v>
      </c>
      <c r="B4083" s="8" t="s">
        <v>2889</v>
      </c>
      <c r="C4083" t="s">
        <v>6388</v>
      </c>
      <c r="D4083" s="8" t="s">
        <v>6389</v>
      </c>
    </row>
    <row r="4084" spans="1:4" x14ac:dyDescent="0.35">
      <c r="A4084" t="s">
        <v>2890</v>
      </c>
      <c r="B4084" s="8" t="s">
        <v>2891</v>
      </c>
      <c r="C4084" t="s">
        <v>6570</v>
      </c>
      <c r="D4084" s="8" t="s">
        <v>6571</v>
      </c>
    </row>
    <row r="4085" spans="1:4" x14ac:dyDescent="0.35">
      <c r="A4085" t="s">
        <v>2890</v>
      </c>
      <c r="B4085" s="8" t="s">
        <v>2891</v>
      </c>
      <c r="C4085" t="s">
        <v>7413</v>
      </c>
      <c r="D4085" s="8" t="s">
        <v>7414</v>
      </c>
    </row>
    <row r="4086" spans="1:4" x14ac:dyDescent="0.35">
      <c r="A4086" t="s">
        <v>2890</v>
      </c>
      <c r="B4086" s="8" t="s">
        <v>2891</v>
      </c>
      <c r="C4086" t="s">
        <v>7409</v>
      </c>
      <c r="D4086" s="8" t="s">
        <v>7410</v>
      </c>
    </row>
    <row r="4087" spans="1:4" x14ac:dyDescent="0.35">
      <c r="A4087" t="s">
        <v>2890</v>
      </c>
      <c r="B4087" s="8" t="s">
        <v>2891</v>
      </c>
      <c r="C4087" t="s">
        <v>6388</v>
      </c>
      <c r="D4087" s="8" t="s">
        <v>6389</v>
      </c>
    </row>
    <row r="4088" spans="1:4" x14ac:dyDescent="0.35">
      <c r="A4088" t="s">
        <v>2892</v>
      </c>
      <c r="B4088" s="8" t="s">
        <v>2893</v>
      </c>
      <c r="C4088" t="s">
        <v>6570</v>
      </c>
      <c r="D4088" s="8" t="s">
        <v>6571</v>
      </c>
    </row>
    <row r="4089" spans="1:4" x14ac:dyDescent="0.35">
      <c r="A4089" t="s">
        <v>2892</v>
      </c>
      <c r="B4089" s="8" t="s">
        <v>2893</v>
      </c>
      <c r="C4089" t="s">
        <v>7407</v>
      </c>
      <c r="D4089" s="8" t="s">
        <v>7408</v>
      </c>
    </row>
    <row r="4090" spans="1:4" x14ac:dyDescent="0.35">
      <c r="A4090" t="s">
        <v>2892</v>
      </c>
      <c r="B4090" s="8" t="s">
        <v>2893</v>
      </c>
      <c r="C4090" t="s">
        <v>7409</v>
      </c>
      <c r="D4090" s="8" t="s">
        <v>7410</v>
      </c>
    </row>
    <row r="4091" spans="1:4" x14ac:dyDescent="0.35">
      <c r="A4091" t="s">
        <v>2892</v>
      </c>
      <c r="B4091" s="8" t="s">
        <v>2893</v>
      </c>
      <c r="C4091" t="s">
        <v>6388</v>
      </c>
      <c r="D4091" s="8" t="s">
        <v>6389</v>
      </c>
    </row>
    <row r="4092" spans="1:4" x14ac:dyDescent="0.35">
      <c r="A4092" t="s">
        <v>2894</v>
      </c>
      <c r="B4092" s="8" t="s">
        <v>2895</v>
      </c>
      <c r="C4092" t="s">
        <v>6570</v>
      </c>
      <c r="D4092" s="8" t="s">
        <v>6571</v>
      </c>
    </row>
    <row r="4093" spans="1:4" x14ac:dyDescent="0.35">
      <c r="A4093" t="s">
        <v>2894</v>
      </c>
      <c r="B4093" s="8" t="s">
        <v>2895</v>
      </c>
      <c r="C4093" t="s">
        <v>7407</v>
      </c>
      <c r="D4093" s="8" t="s">
        <v>7408</v>
      </c>
    </row>
    <row r="4094" spans="1:4" x14ac:dyDescent="0.35">
      <c r="A4094" t="s">
        <v>2894</v>
      </c>
      <c r="B4094" s="8" t="s">
        <v>2895</v>
      </c>
      <c r="C4094" t="s">
        <v>7409</v>
      </c>
      <c r="D4094" s="8" t="s">
        <v>7410</v>
      </c>
    </row>
    <row r="4095" spans="1:4" x14ac:dyDescent="0.35">
      <c r="A4095" t="s">
        <v>2896</v>
      </c>
      <c r="B4095" s="8" t="s">
        <v>2897</v>
      </c>
      <c r="C4095" t="s">
        <v>6570</v>
      </c>
      <c r="D4095" s="8" t="s">
        <v>6571</v>
      </c>
    </row>
    <row r="4096" spans="1:4" x14ac:dyDescent="0.35">
      <c r="A4096" t="s">
        <v>2896</v>
      </c>
      <c r="B4096" s="8" t="s">
        <v>2897</v>
      </c>
      <c r="C4096" t="s">
        <v>7407</v>
      </c>
      <c r="D4096" s="8" t="s">
        <v>7408</v>
      </c>
    </row>
    <row r="4097" spans="1:4" x14ac:dyDescent="0.35">
      <c r="A4097" t="s">
        <v>2896</v>
      </c>
      <c r="B4097" s="8" t="s">
        <v>2897</v>
      </c>
      <c r="C4097" t="s">
        <v>7409</v>
      </c>
      <c r="D4097" s="8" t="s">
        <v>7410</v>
      </c>
    </row>
    <row r="4098" spans="1:4" x14ac:dyDescent="0.35">
      <c r="A4098" t="s">
        <v>2898</v>
      </c>
      <c r="B4098" s="8" t="s">
        <v>2899</v>
      </c>
      <c r="C4098" t="s">
        <v>6570</v>
      </c>
      <c r="D4098" s="8" t="s">
        <v>6571</v>
      </c>
    </row>
    <row r="4099" spans="1:4" x14ac:dyDescent="0.35">
      <c r="A4099" t="s">
        <v>2898</v>
      </c>
      <c r="B4099" s="8" t="s">
        <v>2899</v>
      </c>
      <c r="C4099" t="s">
        <v>7407</v>
      </c>
      <c r="D4099" s="8" t="s">
        <v>7408</v>
      </c>
    </row>
    <row r="4100" spans="1:4" x14ac:dyDescent="0.35">
      <c r="A4100" t="s">
        <v>2898</v>
      </c>
      <c r="B4100" s="8" t="s">
        <v>2899</v>
      </c>
      <c r="C4100" t="s">
        <v>7409</v>
      </c>
      <c r="D4100" s="8" t="s">
        <v>7410</v>
      </c>
    </row>
    <row r="4101" spans="1:4" x14ac:dyDescent="0.35">
      <c r="A4101" t="s">
        <v>2900</v>
      </c>
      <c r="B4101" s="8" t="s">
        <v>2901</v>
      </c>
      <c r="C4101" t="s">
        <v>6570</v>
      </c>
      <c r="D4101" s="8" t="s">
        <v>6571</v>
      </c>
    </row>
    <row r="4102" spans="1:4" x14ac:dyDescent="0.35">
      <c r="A4102" t="s">
        <v>2900</v>
      </c>
      <c r="B4102" s="8" t="s">
        <v>2901</v>
      </c>
      <c r="C4102" t="s">
        <v>7407</v>
      </c>
      <c r="D4102" s="8" t="s">
        <v>7408</v>
      </c>
    </row>
    <row r="4103" spans="1:4" x14ac:dyDescent="0.35">
      <c r="A4103" t="s">
        <v>2902</v>
      </c>
      <c r="B4103" s="8" t="s">
        <v>2904</v>
      </c>
      <c r="C4103" t="s">
        <v>6570</v>
      </c>
      <c r="D4103" s="8" t="s">
        <v>6571</v>
      </c>
    </row>
    <row r="4104" spans="1:4" x14ac:dyDescent="0.35">
      <c r="A4104" t="s">
        <v>2902</v>
      </c>
      <c r="B4104" s="8" t="s">
        <v>2904</v>
      </c>
      <c r="C4104" t="s">
        <v>7407</v>
      </c>
      <c r="D4104" s="8" t="s">
        <v>7408</v>
      </c>
    </row>
    <row r="4105" spans="1:4" x14ac:dyDescent="0.35">
      <c r="A4105" t="s">
        <v>2902</v>
      </c>
      <c r="B4105" s="8" t="s">
        <v>2904</v>
      </c>
      <c r="C4105" t="s">
        <v>7225</v>
      </c>
      <c r="D4105" s="8" t="s">
        <v>7226</v>
      </c>
    </row>
    <row r="4106" spans="1:4" x14ac:dyDescent="0.35">
      <c r="A4106" t="s">
        <v>7433</v>
      </c>
      <c r="B4106" s="8" t="s">
        <v>2905</v>
      </c>
      <c r="C4106" t="s">
        <v>6570</v>
      </c>
      <c r="D4106" s="8" t="s">
        <v>6571</v>
      </c>
    </row>
    <row r="4107" spans="1:4" x14ac:dyDescent="0.35">
      <c r="A4107" t="s">
        <v>7433</v>
      </c>
      <c r="B4107" s="8" t="s">
        <v>2905</v>
      </c>
      <c r="C4107" t="s">
        <v>7407</v>
      </c>
      <c r="D4107" s="8" t="s">
        <v>7408</v>
      </c>
    </row>
    <row r="4108" spans="1:4" x14ac:dyDescent="0.35">
      <c r="A4108" t="s">
        <v>7433</v>
      </c>
      <c r="B4108" s="8" t="s">
        <v>2905</v>
      </c>
      <c r="C4108" t="s">
        <v>7225</v>
      </c>
      <c r="D4108" s="8" t="s">
        <v>7226</v>
      </c>
    </row>
    <row r="4109" spans="1:4" x14ac:dyDescent="0.35">
      <c r="A4109" t="s">
        <v>2906</v>
      </c>
      <c r="B4109" s="8" t="s">
        <v>2907</v>
      </c>
      <c r="C4109" t="s">
        <v>6570</v>
      </c>
      <c r="D4109" s="8" t="s">
        <v>6571</v>
      </c>
    </row>
    <row r="4110" spans="1:4" x14ac:dyDescent="0.35">
      <c r="A4110" t="s">
        <v>2906</v>
      </c>
      <c r="B4110" s="8" t="s">
        <v>2907</v>
      </c>
      <c r="C4110" t="s">
        <v>7409</v>
      </c>
      <c r="D4110" s="8" t="s">
        <v>7410</v>
      </c>
    </row>
    <row r="4111" spans="1:4" x14ac:dyDescent="0.35">
      <c r="A4111" t="s">
        <v>2906</v>
      </c>
      <c r="B4111" s="8" t="s">
        <v>2907</v>
      </c>
      <c r="C4111" t="s">
        <v>7411</v>
      </c>
      <c r="D4111" s="8" t="s">
        <v>7412</v>
      </c>
    </row>
    <row r="4112" spans="1:4" x14ac:dyDescent="0.35">
      <c r="A4112" t="s">
        <v>2908</v>
      </c>
      <c r="B4112" s="8" t="s">
        <v>2909</v>
      </c>
      <c r="C4112" t="s">
        <v>6514</v>
      </c>
      <c r="D4112" s="8" t="s">
        <v>6515</v>
      </c>
    </row>
    <row r="4113" spans="1:4" x14ac:dyDescent="0.35">
      <c r="A4113" t="s">
        <v>2908</v>
      </c>
      <c r="B4113" s="8" t="s">
        <v>2909</v>
      </c>
      <c r="C4113" t="s">
        <v>7425</v>
      </c>
      <c r="D4113" s="8" t="s">
        <v>7426</v>
      </c>
    </row>
    <row r="4114" spans="1:4" x14ac:dyDescent="0.35">
      <c r="A4114" t="s">
        <v>2910</v>
      </c>
      <c r="B4114" s="8" t="s">
        <v>2911</v>
      </c>
      <c r="C4114" t="s">
        <v>6570</v>
      </c>
      <c r="D4114" s="8" t="s">
        <v>6571</v>
      </c>
    </row>
    <row r="4115" spans="1:4" x14ac:dyDescent="0.35">
      <c r="A4115" t="s">
        <v>2912</v>
      </c>
      <c r="B4115" s="8" t="s">
        <v>2913</v>
      </c>
      <c r="C4115" t="s">
        <v>6570</v>
      </c>
      <c r="D4115" s="8" t="s">
        <v>6571</v>
      </c>
    </row>
    <row r="4116" spans="1:4" x14ac:dyDescent="0.35">
      <c r="A4116" t="s">
        <v>2912</v>
      </c>
      <c r="B4116" s="8" t="s">
        <v>2913</v>
      </c>
      <c r="C4116" t="s">
        <v>7003</v>
      </c>
      <c r="D4116" s="8" t="s">
        <v>7004</v>
      </c>
    </row>
    <row r="4117" spans="1:4" x14ac:dyDescent="0.35">
      <c r="A4117" t="s">
        <v>2912</v>
      </c>
      <c r="B4117" s="8" t="s">
        <v>2913</v>
      </c>
      <c r="C4117" t="s">
        <v>7425</v>
      </c>
      <c r="D4117" s="8" t="s">
        <v>7426</v>
      </c>
    </row>
    <row r="4118" spans="1:4" x14ac:dyDescent="0.35">
      <c r="A4118" t="s">
        <v>2914</v>
      </c>
      <c r="B4118" s="8" t="s">
        <v>2915</v>
      </c>
      <c r="C4118" t="s">
        <v>6570</v>
      </c>
      <c r="D4118" s="8" t="s">
        <v>6571</v>
      </c>
    </row>
    <row r="4119" spans="1:4" x14ac:dyDescent="0.35">
      <c r="A4119" t="s">
        <v>2914</v>
      </c>
      <c r="B4119" s="8" t="s">
        <v>2915</v>
      </c>
      <c r="C4119" t="s">
        <v>7003</v>
      </c>
      <c r="D4119" s="8" t="s">
        <v>7004</v>
      </c>
    </row>
    <row r="4120" spans="1:4" x14ac:dyDescent="0.35">
      <c r="A4120" t="s">
        <v>2916</v>
      </c>
      <c r="B4120" s="8" t="s">
        <v>2917</v>
      </c>
      <c r="C4120" t="s">
        <v>6570</v>
      </c>
      <c r="D4120" s="8" t="s">
        <v>6571</v>
      </c>
    </row>
    <row r="4121" spans="1:4" x14ac:dyDescent="0.35">
      <c r="A4121" t="s">
        <v>2916</v>
      </c>
      <c r="B4121" s="8" t="s">
        <v>2917</v>
      </c>
      <c r="C4121" t="s">
        <v>7003</v>
      </c>
      <c r="D4121" s="8" t="s">
        <v>7004</v>
      </c>
    </row>
    <row r="4122" spans="1:4" x14ac:dyDescent="0.35">
      <c r="A4122" t="s">
        <v>2918</v>
      </c>
      <c r="B4122" s="8" t="s">
        <v>2919</v>
      </c>
      <c r="C4122" t="s">
        <v>6570</v>
      </c>
      <c r="D4122" s="8" t="s">
        <v>6571</v>
      </c>
    </row>
    <row r="4123" spans="1:4" x14ac:dyDescent="0.35">
      <c r="A4123" t="s">
        <v>2918</v>
      </c>
      <c r="B4123" s="8" t="s">
        <v>2919</v>
      </c>
      <c r="C4123" t="s">
        <v>7003</v>
      </c>
      <c r="D4123" s="8" t="s">
        <v>7004</v>
      </c>
    </row>
    <row r="4124" spans="1:4" x14ac:dyDescent="0.35">
      <c r="A4124" t="s">
        <v>2920</v>
      </c>
      <c r="B4124" s="8" t="s">
        <v>2921</v>
      </c>
      <c r="C4124" t="s">
        <v>6570</v>
      </c>
      <c r="D4124" s="8" t="s">
        <v>6571</v>
      </c>
    </row>
    <row r="4125" spans="1:4" x14ac:dyDescent="0.35">
      <c r="A4125" t="s">
        <v>2920</v>
      </c>
      <c r="B4125" s="8" t="s">
        <v>2921</v>
      </c>
      <c r="C4125" t="s">
        <v>7425</v>
      </c>
      <c r="D4125" s="8" t="s">
        <v>7426</v>
      </c>
    </row>
    <row r="4126" spans="1:4" x14ac:dyDescent="0.35">
      <c r="A4126" t="s">
        <v>2922</v>
      </c>
      <c r="B4126" s="8" t="s">
        <v>2923</v>
      </c>
      <c r="C4126" t="s">
        <v>6570</v>
      </c>
      <c r="D4126" s="8" t="s">
        <v>6571</v>
      </c>
    </row>
    <row r="4127" spans="1:4" x14ac:dyDescent="0.35">
      <c r="A4127" t="s">
        <v>2922</v>
      </c>
      <c r="B4127" s="8" t="s">
        <v>2923</v>
      </c>
      <c r="C4127" t="s">
        <v>7003</v>
      </c>
      <c r="D4127" s="8" t="s">
        <v>7004</v>
      </c>
    </row>
    <row r="4128" spans="1:4" x14ac:dyDescent="0.35">
      <c r="A4128" t="s">
        <v>2922</v>
      </c>
      <c r="B4128" s="8" t="s">
        <v>2923</v>
      </c>
      <c r="C4128" t="s">
        <v>7425</v>
      </c>
      <c r="D4128" s="8" t="s">
        <v>7426</v>
      </c>
    </row>
    <row r="4129" spans="1:4" x14ac:dyDescent="0.35">
      <c r="A4129" t="s">
        <v>2924</v>
      </c>
      <c r="B4129" s="8" t="s">
        <v>2925</v>
      </c>
      <c r="C4129" t="s">
        <v>6570</v>
      </c>
      <c r="D4129" s="8" t="s">
        <v>6571</v>
      </c>
    </row>
    <row r="4130" spans="1:4" x14ac:dyDescent="0.35">
      <c r="A4130" t="s">
        <v>2924</v>
      </c>
      <c r="B4130" s="8" t="s">
        <v>2925</v>
      </c>
      <c r="C4130" t="s">
        <v>7425</v>
      </c>
      <c r="D4130" s="8" t="s">
        <v>7426</v>
      </c>
    </row>
    <row r="4131" spans="1:4" x14ac:dyDescent="0.35">
      <c r="A4131" t="s">
        <v>2926</v>
      </c>
      <c r="B4131" s="8" t="s">
        <v>2927</v>
      </c>
      <c r="C4131" t="s">
        <v>6570</v>
      </c>
      <c r="D4131" s="8" t="s">
        <v>6571</v>
      </c>
    </row>
    <row r="4132" spans="1:4" x14ac:dyDescent="0.35">
      <c r="A4132" t="s">
        <v>2926</v>
      </c>
      <c r="B4132" s="8" t="s">
        <v>2927</v>
      </c>
      <c r="C4132" t="s">
        <v>7425</v>
      </c>
      <c r="D4132" s="8" t="s">
        <v>7426</v>
      </c>
    </row>
    <row r="4133" spans="1:4" x14ac:dyDescent="0.35">
      <c r="A4133" t="s">
        <v>2928</v>
      </c>
      <c r="B4133" s="8" t="s">
        <v>2929</v>
      </c>
      <c r="C4133" t="s">
        <v>6570</v>
      </c>
      <c r="D4133" s="8" t="s">
        <v>6571</v>
      </c>
    </row>
    <row r="4134" spans="1:4" x14ac:dyDescent="0.35">
      <c r="A4134" t="s">
        <v>2928</v>
      </c>
      <c r="B4134" s="8" t="s">
        <v>2929</v>
      </c>
      <c r="C4134" t="s">
        <v>7425</v>
      </c>
      <c r="D4134" s="8" t="s">
        <v>7426</v>
      </c>
    </row>
    <row r="4135" spans="1:4" x14ac:dyDescent="0.35">
      <c r="A4135" t="s">
        <v>2930</v>
      </c>
      <c r="B4135" s="8" t="s">
        <v>2931</v>
      </c>
      <c r="C4135" t="s">
        <v>6570</v>
      </c>
      <c r="D4135" s="8" t="s">
        <v>6571</v>
      </c>
    </row>
    <row r="4136" spans="1:4" x14ac:dyDescent="0.35">
      <c r="A4136" t="s">
        <v>2930</v>
      </c>
      <c r="B4136" s="8" t="s">
        <v>2931</v>
      </c>
      <c r="C4136" t="s">
        <v>7003</v>
      </c>
      <c r="D4136" s="8" t="s">
        <v>7004</v>
      </c>
    </row>
    <row r="4137" spans="1:4" x14ac:dyDescent="0.35">
      <c r="A4137" t="s">
        <v>2930</v>
      </c>
      <c r="B4137" s="8" t="s">
        <v>2931</v>
      </c>
      <c r="C4137" t="s">
        <v>6377</v>
      </c>
      <c r="D4137" s="8" t="s">
        <v>6378</v>
      </c>
    </row>
    <row r="4138" spans="1:4" x14ac:dyDescent="0.35">
      <c r="A4138" t="s">
        <v>2930</v>
      </c>
      <c r="B4138" s="8" t="s">
        <v>2931</v>
      </c>
      <c r="C4138" t="s">
        <v>6371</v>
      </c>
      <c r="D4138" s="8" t="s">
        <v>6372</v>
      </c>
    </row>
    <row r="4139" spans="1:4" x14ac:dyDescent="0.35">
      <c r="A4139" t="s">
        <v>2932</v>
      </c>
      <c r="B4139" s="8" t="s">
        <v>2933</v>
      </c>
      <c r="C4139" t="s">
        <v>6570</v>
      </c>
      <c r="D4139" s="8" t="s">
        <v>6571</v>
      </c>
    </row>
    <row r="4140" spans="1:4" x14ac:dyDescent="0.35">
      <c r="A4140" t="s">
        <v>2932</v>
      </c>
      <c r="B4140" s="8" t="s">
        <v>2933</v>
      </c>
      <c r="C4140" t="s">
        <v>7425</v>
      </c>
      <c r="D4140" s="8" t="s">
        <v>7426</v>
      </c>
    </row>
    <row r="4141" spans="1:4" x14ac:dyDescent="0.35">
      <c r="A4141" t="s">
        <v>2934</v>
      </c>
      <c r="B4141" s="8" t="s">
        <v>2935</v>
      </c>
      <c r="C4141" t="s">
        <v>6570</v>
      </c>
      <c r="D4141" s="8" t="s">
        <v>6571</v>
      </c>
    </row>
    <row r="4142" spans="1:4" x14ac:dyDescent="0.35">
      <c r="A4142" t="s">
        <v>2934</v>
      </c>
      <c r="B4142" s="8" t="s">
        <v>2935</v>
      </c>
      <c r="C4142" t="s">
        <v>7425</v>
      </c>
      <c r="D4142" s="8" t="s">
        <v>7426</v>
      </c>
    </row>
    <row r="4143" spans="1:4" x14ac:dyDescent="0.35">
      <c r="A4143" t="s">
        <v>2936</v>
      </c>
      <c r="B4143" s="8" t="s">
        <v>2937</v>
      </c>
      <c r="C4143" t="s">
        <v>6570</v>
      </c>
      <c r="D4143" s="8" t="s">
        <v>6571</v>
      </c>
    </row>
    <row r="4144" spans="1:4" x14ac:dyDescent="0.35">
      <c r="A4144" t="s">
        <v>2936</v>
      </c>
      <c r="B4144" s="8" t="s">
        <v>2937</v>
      </c>
      <c r="C4144" t="s">
        <v>7425</v>
      </c>
      <c r="D4144" s="8" t="s">
        <v>7426</v>
      </c>
    </row>
    <row r="4145" spans="1:4" x14ac:dyDescent="0.35">
      <c r="A4145" t="s">
        <v>7434</v>
      </c>
      <c r="B4145" s="8" t="s">
        <v>2938</v>
      </c>
      <c r="C4145" t="s">
        <v>6570</v>
      </c>
      <c r="D4145" s="8" t="s">
        <v>6571</v>
      </c>
    </row>
    <row r="4146" spans="1:4" x14ac:dyDescent="0.35">
      <c r="A4146" t="s">
        <v>7434</v>
      </c>
      <c r="B4146" s="8" t="s">
        <v>2938</v>
      </c>
      <c r="C4146" t="s">
        <v>7003</v>
      </c>
      <c r="D4146" s="8" t="s">
        <v>7004</v>
      </c>
    </row>
    <row r="4147" spans="1:4" x14ac:dyDescent="0.35">
      <c r="A4147" t="s">
        <v>2939</v>
      </c>
      <c r="B4147" s="8" t="s">
        <v>2940</v>
      </c>
      <c r="C4147" t="s">
        <v>6570</v>
      </c>
      <c r="D4147" s="8" t="s">
        <v>6571</v>
      </c>
    </row>
    <row r="4148" spans="1:4" x14ac:dyDescent="0.35">
      <c r="A4148" t="s">
        <v>2939</v>
      </c>
      <c r="B4148" s="8" t="s">
        <v>2940</v>
      </c>
      <c r="C4148" t="s">
        <v>7003</v>
      </c>
      <c r="D4148" s="8" t="s">
        <v>7004</v>
      </c>
    </row>
    <row r="4149" spans="1:4" x14ac:dyDescent="0.35">
      <c r="A4149" t="s">
        <v>2939</v>
      </c>
      <c r="B4149" s="8" t="s">
        <v>2940</v>
      </c>
      <c r="C4149" t="s">
        <v>7425</v>
      </c>
      <c r="D4149" s="8" t="s">
        <v>7426</v>
      </c>
    </row>
    <row r="4150" spans="1:4" x14ac:dyDescent="0.35">
      <c r="A4150" t="s">
        <v>2941</v>
      </c>
      <c r="B4150" s="8" t="s">
        <v>2943</v>
      </c>
      <c r="C4150" t="s">
        <v>6243</v>
      </c>
      <c r="D4150" s="8" t="s">
        <v>6244</v>
      </c>
    </row>
    <row r="4151" spans="1:4" x14ac:dyDescent="0.35">
      <c r="A4151" t="s">
        <v>2941</v>
      </c>
      <c r="B4151" s="8" t="s">
        <v>2943</v>
      </c>
      <c r="C4151" t="s">
        <v>6362</v>
      </c>
      <c r="D4151" s="8" t="s">
        <v>6363</v>
      </c>
    </row>
    <row r="4152" spans="1:4" x14ac:dyDescent="0.35">
      <c r="A4152" t="s">
        <v>2941</v>
      </c>
      <c r="B4152" s="8" t="s">
        <v>2943</v>
      </c>
      <c r="C4152" t="s">
        <v>6570</v>
      </c>
      <c r="D4152" s="8" t="s">
        <v>6571</v>
      </c>
    </row>
    <row r="4153" spans="1:4" x14ac:dyDescent="0.35">
      <c r="A4153" t="s">
        <v>2944</v>
      </c>
      <c r="B4153" s="8" t="s">
        <v>2945</v>
      </c>
      <c r="C4153" t="s">
        <v>6243</v>
      </c>
      <c r="D4153" s="8" t="s">
        <v>6244</v>
      </c>
    </row>
    <row r="4154" spans="1:4" x14ac:dyDescent="0.35">
      <c r="A4154" t="s">
        <v>2944</v>
      </c>
      <c r="B4154" s="8" t="s">
        <v>2945</v>
      </c>
      <c r="C4154" t="s">
        <v>6362</v>
      </c>
      <c r="D4154" s="8" t="s">
        <v>6363</v>
      </c>
    </row>
    <row r="4155" spans="1:4" x14ac:dyDescent="0.35">
      <c r="A4155" t="s">
        <v>2944</v>
      </c>
      <c r="B4155" s="8" t="s">
        <v>2945</v>
      </c>
      <c r="C4155" t="s">
        <v>6570</v>
      </c>
      <c r="D4155" s="8" t="s">
        <v>6571</v>
      </c>
    </row>
    <row r="4156" spans="1:4" x14ac:dyDescent="0.35">
      <c r="A4156" t="s">
        <v>2946</v>
      </c>
      <c r="B4156" s="8" t="s">
        <v>2947</v>
      </c>
      <c r="C4156" t="s">
        <v>6570</v>
      </c>
      <c r="D4156" s="8" t="s">
        <v>6571</v>
      </c>
    </row>
    <row r="4157" spans="1:4" x14ac:dyDescent="0.35">
      <c r="A4157" t="s">
        <v>2946</v>
      </c>
      <c r="B4157" s="8" t="s">
        <v>2947</v>
      </c>
      <c r="C4157" t="s">
        <v>7003</v>
      </c>
      <c r="D4157" s="8" t="s">
        <v>7004</v>
      </c>
    </row>
    <row r="4158" spans="1:4" x14ac:dyDescent="0.35">
      <c r="A4158" t="s">
        <v>2948</v>
      </c>
      <c r="B4158" s="8" t="s">
        <v>2949</v>
      </c>
      <c r="C4158" t="s">
        <v>6243</v>
      </c>
      <c r="D4158" s="8" t="s">
        <v>6244</v>
      </c>
    </row>
    <row r="4159" spans="1:4" x14ac:dyDescent="0.35">
      <c r="A4159" t="s">
        <v>2948</v>
      </c>
      <c r="B4159" s="8" t="s">
        <v>2949</v>
      </c>
      <c r="C4159" t="s">
        <v>6570</v>
      </c>
      <c r="D4159" s="8" t="s">
        <v>6571</v>
      </c>
    </row>
    <row r="4160" spans="1:4" x14ac:dyDescent="0.35">
      <c r="A4160" t="s">
        <v>2948</v>
      </c>
      <c r="B4160" s="8" t="s">
        <v>2949</v>
      </c>
      <c r="C4160" t="s">
        <v>6346</v>
      </c>
      <c r="D4160" s="8" t="s">
        <v>6347</v>
      </c>
    </row>
    <row r="4161" spans="1:4" x14ac:dyDescent="0.35">
      <c r="A4161" t="s">
        <v>2950</v>
      </c>
      <c r="B4161" s="8" t="s">
        <v>2951</v>
      </c>
      <c r="C4161" t="s">
        <v>6243</v>
      </c>
      <c r="D4161" s="8" t="s">
        <v>6244</v>
      </c>
    </row>
    <row r="4162" spans="1:4" x14ac:dyDescent="0.35">
      <c r="A4162" t="s">
        <v>2950</v>
      </c>
      <c r="B4162" s="8" t="s">
        <v>2951</v>
      </c>
      <c r="C4162" t="s">
        <v>6362</v>
      </c>
      <c r="D4162" s="8" t="s">
        <v>6363</v>
      </c>
    </row>
    <row r="4163" spans="1:4" x14ac:dyDescent="0.35">
      <c r="A4163" t="s">
        <v>2950</v>
      </c>
      <c r="B4163" s="8" t="s">
        <v>2951</v>
      </c>
      <c r="C4163" t="s">
        <v>6570</v>
      </c>
      <c r="D4163" s="8" t="s">
        <v>6571</v>
      </c>
    </row>
    <row r="4164" spans="1:4" x14ac:dyDescent="0.35">
      <c r="A4164" t="s">
        <v>7435</v>
      </c>
      <c r="B4164" s="8" t="s">
        <v>2952</v>
      </c>
      <c r="C4164" t="s">
        <v>6570</v>
      </c>
      <c r="D4164" s="8" t="s">
        <v>6571</v>
      </c>
    </row>
    <row r="4165" spans="1:4" x14ac:dyDescent="0.35">
      <c r="A4165" t="s">
        <v>7435</v>
      </c>
      <c r="B4165" s="8" t="s">
        <v>2952</v>
      </c>
      <c r="C4165" t="s">
        <v>7409</v>
      </c>
      <c r="D4165" s="8" t="s">
        <v>7410</v>
      </c>
    </row>
    <row r="4166" spans="1:4" x14ac:dyDescent="0.35">
      <c r="A4166" t="s">
        <v>7435</v>
      </c>
      <c r="B4166" s="8" t="s">
        <v>2952</v>
      </c>
      <c r="C4166" t="s">
        <v>7411</v>
      </c>
      <c r="D4166" s="8" t="s">
        <v>7412</v>
      </c>
    </row>
    <row r="4167" spans="1:4" x14ac:dyDescent="0.35">
      <c r="A4167" t="s">
        <v>2953</v>
      </c>
      <c r="B4167" s="8" t="s">
        <v>2954</v>
      </c>
      <c r="C4167" t="s">
        <v>6570</v>
      </c>
      <c r="D4167" s="8" t="s">
        <v>6571</v>
      </c>
    </row>
    <row r="4168" spans="1:4" x14ac:dyDescent="0.35">
      <c r="A4168" t="s">
        <v>2955</v>
      </c>
      <c r="B4168" s="8" t="s">
        <v>2956</v>
      </c>
      <c r="C4168" t="s">
        <v>6163</v>
      </c>
      <c r="D4168" s="8" t="s">
        <v>6164</v>
      </c>
    </row>
    <row r="4169" spans="1:4" x14ac:dyDescent="0.35">
      <c r="A4169" t="s">
        <v>2957</v>
      </c>
      <c r="B4169" s="8" t="s">
        <v>2958</v>
      </c>
      <c r="C4169" t="s">
        <v>6358</v>
      </c>
      <c r="D4169" s="8" t="s">
        <v>6359</v>
      </c>
    </row>
    <row r="4170" spans="1:4" x14ac:dyDescent="0.35">
      <c r="A4170" t="s">
        <v>2957</v>
      </c>
      <c r="B4170" s="8" t="s">
        <v>2958</v>
      </c>
      <c r="C4170" t="s">
        <v>6360</v>
      </c>
      <c r="D4170" s="8" t="s">
        <v>6361</v>
      </c>
    </row>
    <row r="4171" spans="1:4" x14ac:dyDescent="0.35">
      <c r="A4171" t="s">
        <v>2959</v>
      </c>
      <c r="B4171" s="8" t="s">
        <v>2960</v>
      </c>
      <c r="C4171" t="s">
        <v>6194</v>
      </c>
      <c r="D4171" s="8" t="s">
        <v>6195</v>
      </c>
    </row>
    <row r="4172" spans="1:4" x14ac:dyDescent="0.35">
      <c r="A4172" t="s">
        <v>2959</v>
      </c>
      <c r="B4172" s="8" t="s">
        <v>2960</v>
      </c>
      <c r="C4172" t="s">
        <v>7436</v>
      </c>
      <c r="D4172" s="8" t="s">
        <v>7437</v>
      </c>
    </row>
    <row r="4173" spans="1:4" x14ac:dyDescent="0.35">
      <c r="A4173" t="s">
        <v>2961</v>
      </c>
      <c r="B4173" s="8" t="s">
        <v>2962</v>
      </c>
      <c r="C4173" t="s">
        <v>6194</v>
      </c>
      <c r="D4173" s="8" t="s">
        <v>6195</v>
      </c>
    </row>
    <row r="4174" spans="1:4" x14ac:dyDescent="0.35">
      <c r="A4174" t="s">
        <v>2961</v>
      </c>
      <c r="B4174" s="8" t="s">
        <v>2962</v>
      </c>
      <c r="C4174" t="s">
        <v>7438</v>
      </c>
      <c r="D4174" s="8" t="s">
        <v>7439</v>
      </c>
    </row>
    <row r="4175" spans="1:4" x14ac:dyDescent="0.35">
      <c r="A4175" t="s">
        <v>2961</v>
      </c>
      <c r="B4175" s="8" t="s">
        <v>2962</v>
      </c>
      <c r="C4175" t="s">
        <v>7440</v>
      </c>
      <c r="D4175" s="8" t="s">
        <v>7441</v>
      </c>
    </row>
    <row r="4176" spans="1:4" x14ac:dyDescent="0.35">
      <c r="A4176" t="s">
        <v>2963</v>
      </c>
      <c r="B4176" s="8" t="s">
        <v>2964</v>
      </c>
      <c r="C4176" t="s">
        <v>6194</v>
      </c>
      <c r="D4176" s="8" t="s">
        <v>6195</v>
      </c>
    </row>
    <row r="4177" spans="1:4" x14ac:dyDescent="0.35">
      <c r="A4177" t="s">
        <v>2963</v>
      </c>
      <c r="B4177" s="8" t="s">
        <v>2964</v>
      </c>
      <c r="C4177" t="s">
        <v>7440</v>
      </c>
      <c r="D4177" s="8" t="s">
        <v>7441</v>
      </c>
    </row>
    <row r="4178" spans="1:4" x14ac:dyDescent="0.35">
      <c r="A4178" t="s">
        <v>2965</v>
      </c>
      <c r="B4178" s="8" t="s">
        <v>2966</v>
      </c>
      <c r="C4178" t="s">
        <v>6194</v>
      </c>
      <c r="D4178" s="8" t="s">
        <v>6195</v>
      </c>
    </row>
    <row r="4179" spans="1:4" x14ac:dyDescent="0.35">
      <c r="A4179" t="s">
        <v>2965</v>
      </c>
      <c r="B4179" s="8" t="s">
        <v>2966</v>
      </c>
      <c r="C4179" t="s">
        <v>7438</v>
      </c>
      <c r="D4179" s="8" t="s">
        <v>7439</v>
      </c>
    </row>
    <row r="4180" spans="1:4" x14ac:dyDescent="0.35">
      <c r="A4180" t="s">
        <v>2967</v>
      </c>
      <c r="B4180" s="8" t="s">
        <v>2968</v>
      </c>
      <c r="C4180" t="s">
        <v>6194</v>
      </c>
      <c r="D4180" s="8" t="s">
        <v>6195</v>
      </c>
    </row>
    <row r="4181" spans="1:4" x14ac:dyDescent="0.35">
      <c r="A4181" t="s">
        <v>2967</v>
      </c>
      <c r="B4181" s="8" t="s">
        <v>2968</v>
      </c>
      <c r="C4181" t="s">
        <v>7438</v>
      </c>
      <c r="D4181" s="8" t="s">
        <v>7439</v>
      </c>
    </row>
    <row r="4182" spans="1:4" x14ac:dyDescent="0.35">
      <c r="A4182" t="s">
        <v>2967</v>
      </c>
      <c r="B4182" s="8" t="s">
        <v>2968</v>
      </c>
      <c r="C4182" t="s">
        <v>7440</v>
      </c>
      <c r="D4182" s="8" t="s">
        <v>7441</v>
      </c>
    </row>
    <row r="4183" spans="1:4" x14ac:dyDescent="0.35">
      <c r="A4183" t="s">
        <v>2969</v>
      </c>
      <c r="B4183" s="8" t="s">
        <v>2970</v>
      </c>
      <c r="C4183" t="s">
        <v>6194</v>
      </c>
      <c r="D4183" s="8" t="s">
        <v>6195</v>
      </c>
    </row>
    <row r="4184" spans="1:4" x14ac:dyDescent="0.35">
      <c r="A4184" t="s">
        <v>2969</v>
      </c>
      <c r="B4184" s="8" t="s">
        <v>2970</v>
      </c>
      <c r="C4184" t="s">
        <v>7438</v>
      </c>
      <c r="D4184" s="8" t="s">
        <v>7439</v>
      </c>
    </row>
    <row r="4185" spans="1:4" x14ac:dyDescent="0.35">
      <c r="A4185" t="s">
        <v>2969</v>
      </c>
      <c r="B4185" s="8" t="s">
        <v>2970</v>
      </c>
      <c r="C4185" t="s">
        <v>7440</v>
      </c>
      <c r="D4185" s="8" t="s">
        <v>7441</v>
      </c>
    </row>
    <row r="4186" spans="1:4" x14ac:dyDescent="0.35">
      <c r="A4186" t="s">
        <v>2971</v>
      </c>
      <c r="B4186" s="8" t="s">
        <v>2972</v>
      </c>
      <c r="C4186" t="s">
        <v>6194</v>
      </c>
      <c r="D4186" s="8" t="s">
        <v>6195</v>
      </c>
    </row>
    <row r="4187" spans="1:4" x14ac:dyDescent="0.35">
      <c r="A4187" t="s">
        <v>2971</v>
      </c>
      <c r="B4187" s="8" t="s">
        <v>2972</v>
      </c>
      <c r="C4187" t="s">
        <v>7442</v>
      </c>
      <c r="D4187" s="8" t="s">
        <v>7443</v>
      </c>
    </row>
    <row r="4188" spans="1:4" x14ac:dyDescent="0.35">
      <c r="A4188" t="s">
        <v>2973</v>
      </c>
      <c r="B4188" s="8" t="s">
        <v>2974</v>
      </c>
      <c r="C4188" t="s">
        <v>6194</v>
      </c>
      <c r="D4188" s="8" t="s">
        <v>6195</v>
      </c>
    </row>
    <row r="4189" spans="1:4" x14ac:dyDescent="0.35">
      <c r="A4189" t="s">
        <v>2973</v>
      </c>
      <c r="B4189" s="8" t="s">
        <v>2974</v>
      </c>
      <c r="C4189" t="s">
        <v>7444</v>
      </c>
      <c r="D4189" s="8" t="s">
        <v>7445</v>
      </c>
    </row>
    <row r="4190" spans="1:4" x14ac:dyDescent="0.35">
      <c r="A4190" t="s">
        <v>2975</v>
      </c>
      <c r="B4190" s="8" t="s">
        <v>2976</v>
      </c>
      <c r="C4190" t="s">
        <v>6194</v>
      </c>
      <c r="D4190" s="8" t="s">
        <v>6195</v>
      </c>
    </row>
    <row r="4191" spans="1:4" x14ac:dyDescent="0.35">
      <c r="A4191" t="s">
        <v>2975</v>
      </c>
      <c r="B4191" s="8" t="s">
        <v>2976</v>
      </c>
      <c r="C4191" t="s">
        <v>7442</v>
      </c>
      <c r="D4191" s="8" t="s">
        <v>7443</v>
      </c>
    </row>
    <row r="4192" spans="1:4" x14ac:dyDescent="0.35">
      <c r="A4192" t="s">
        <v>2977</v>
      </c>
      <c r="B4192" s="8" t="s">
        <v>2978</v>
      </c>
      <c r="C4192" t="s">
        <v>7444</v>
      </c>
      <c r="D4192" s="8" t="s">
        <v>7445</v>
      </c>
    </row>
    <row r="4193" spans="1:4" x14ac:dyDescent="0.35">
      <c r="A4193" t="s">
        <v>2979</v>
      </c>
      <c r="B4193" s="8" t="s">
        <v>2980</v>
      </c>
      <c r="C4193" t="s">
        <v>6358</v>
      </c>
      <c r="D4193" s="8" t="s">
        <v>6359</v>
      </c>
    </row>
    <row r="4194" spans="1:4" x14ac:dyDescent="0.35">
      <c r="A4194" t="s">
        <v>2979</v>
      </c>
      <c r="B4194" s="8" t="s">
        <v>2980</v>
      </c>
      <c r="C4194" t="s">
        <v>6194</v>
      </c>
      <c r="D4194" s="8" t="s">
        <v>6195</v>
      </c>
    </row>
    <row r="4195" spans="1:4" x14ac:dyDescent="0.35">
      <c r="A4195" t="s">
        <v>2979</v>
      </c>
      <c r="B4195" s="8" t="s">
        <v>2980</v>
      </c>
      <c r="C4195" t="s">
        <v>7444</v>
      </c>
      <c r="D4195" s="8" t="s">
        <v>7445</v>
      </c>
    </row>
    <row r="4196" spans="1:4" x14ac:dyDescent="0.35">
      <c r="A4196" t="s">
        <v>2981</v>
      </c>
      <c r="B4196" s="8" t="s">
        <v>2982</v>
      </c>
      <c r="C4196" t="s">
        <v>6194</v>
      </c>
      <c r="D4196" s="8" t="s">
        <v>6195</v>
      </c>
    </row>
    <row r="4197" spans="1:4" x14ac:dyDescent="0.35">
      <c r="A4197" t="s">
        <v>2981</v>
      </c>
      <c r="B4197" s="8" t="s">
        <v>2982</v>
      </c>
      <c r="C4197" t="s">
        <v>7444</v>
      </c>
      <c r="D4197" s="8" t="s">
        <v>7445</v>
      </c>
    </row>
    <row r="4198" spans="1:4" x14ac:dyDescent="0.35">
      <c r="A4198" t="s">
        <v>2983</v>
      </c>
      <c r="B4198" s="8" t="s">
        <v>2984</v>
      </c>
      <c r="C4198" t="s">
        <v>6194</v>
      </c>
      <c r="D4198" s="8" t="s">
        <v>6195</v>
      </c>
    </row>
    <row r="4199" spans="1:4" x14ac:dyDescent="0.35">
      <c r="A4199" t="s">
        <v>2983</v>
      </c>
      <c r="B4199" s="8" t="s">
        <v>2984</v>
      </c>
      <c r="C4199" t="s">
        <v>7444</v>
      </c>
      <c r="D4199" s="8" t="s">
        <v>7445</v>
      </c>
    </row>
    <row r="4200" spans="1:4" x14ac:dyDescent="0.35">
      <c r="A4200" t="s">
        <v>2985</v>
      </c>
      <c r="B4200" s="8" t="s">
        <v>2986</v>
      </c>
      <c r="C4200" t="s">
        <v>6194</v>
      </c>
      <c r="D4200" s="8" t="s">
        <v>6195</v>
      </c>
    </row>
    <row r="4201" spans="1:4" x14ac:dyDescent="0.35">
      <c r="A4201" t="s">
        <v>2985</v>
      </c>
      <c r="B4201" s="8" t="s">
        <v>2986</v>
      </c>
      <c r="C4201" t="s">
        <v>7446</v>
      </c>
      <c r="D4201" s="8" t="s">
        <v>7447</v>
      </c>
    </row>
    <row r="4202" spans="1:4" x14ac:dyDescent="0.35">
      <c r="A4202" t="s">
        <v>2987</v>
      </c>
      <c r="B4202" s="8" t="s">
        <v>2988</v>
      </c>
      <c r="C4202" t="s">
        <v>6194</v>
      </c>
      <c r="D4202" s="8" t="s">
        <v>6195</v>
      </c>
    </row>
    <row r="4203" spans="1:4" x14ac:dyDescent="0.35">
      <c r="A4203" t="s">
        <v>2987</v>
      </c>
      <c r="B4203" s="8" t="s">
        <v>2988</v>
      </c>
      <c r="C4203" t="s">
        <v>7448</v>
      </c>
      <c r="D4203" s="8" t="s">
        <v>7449</v>
      </c>
    </row>
    <row r="4204" spans="1:4" x14ac:dyDescent="0.35">
      <c r="A4204" t="s">
        <v>2989</v>
      </c>
      <c r="B4204" s="8" t="s">
        <v>2990</v>
      </c>
      <c r="C4204" t="s">
        <v>6194</v>
      </c>
      <c r="D4204" s="8" t="s">
        <v>6195</v>
      </c>
    </row>
    <row r="4205" spans="1:4" x14ac:dyDescent="0.35">
      <c r="A4205" t="s">
        <v>2989</v>
      </c>
      <c r="B4205" s="8" t="s">
        <v>2990</v>
      </c>
      <c r="C4205" t="s">
        <v>7442</v>
      </c>
      <c r="D4205" s="8" t="s">
        <v>7443</v>
      </c>
    </row>
    <row r="4206" spans="1:4" x14ac:dyDescent="0.35">
      <c r="A4206" t="s">
        <v>2991</v>
      </c>
      <c r="B4206" s="8" t="s">
        <v>2992</v>
      </c>
      <c r="C4206" t="s">
        <v>6194</v>
      </c>
      <c r="D4206" s="8" t="s">
        <v>6195</v>
      </c>
    </row>
    <row r="4207" spans="1:4" x14ac:dyDescent="0.35">
      <c r="A4207" t="s">
        <v>2991</v>
      </c>
      <c r="B4207" s="8" t="s">
        <v>2992</v>
      </c>
      <c r="C4207" t="s">
        <v>7444</v>
      </c>
      <c r="D4207" s="8" t="s">
        <v>7445</v>
      </c>
    </row>
    <row r="4208" spans="1:4" x14ac:dyDescent="0.35">
      <c r="A4208" t="s">
        <v>2993</v>
      </c>
      <c r="B4208" s="8" t="s">
        <v>2994</v>
      </c>
      <c r="C4208" t="s">
        <v>6194</v>
      </c>
      <c r="D4208" s="8" t="s">
        <v>6195</v>
      </c>
    </row>
    <row r="4209" spans="1:4" x14ac:dyDescent="0.35">
      <c r="A4209" t="s">
        <v>2993</v>
      </c>
      <c r="B4209" s="8" t="s">
        <v>2994</v>
      </c>
      <c r="C4209" t="s">
        <v>7450</v>
      </c>
      <c r="D4209" s="8" t="s">
        <v>7451</v>
      </c>
    </row>
    <row r="4210" spans="1:4" x14ac:dyDescent="0.35">
      <c r="A4210" t="s">
        <v>7452</v>
      </c>
      <c r="B4210" s="8" t="s">
        <v>2995</v>
      </c>
      <c r="C4210" t="s">
        <v>6194</v>
      </c>
      <c r="D4210" s="8" t="s">
        <v>6195</v>
      </c>
    </row>
    <row r="4211" spans="1:4" x14ac:dyDescent="0.35">
      <c r="A4211" t="s">
        <v>7452</v>
      </c>
      <c r="B4211" s="8" t="s">
        <v>2995</v>
      </c>
      <c r="C4211" t="s">
        <v>7444</v>
      </c>
      <c r="D4211" s="8" t="s">
        <v>7445</v>
      </c>
    </row>
    <row r="4212" spans="1:4" x14ac:dyDescent="0.35">
      <c r="A4212" t="s">
        <v>7453</v>
      </c>
      <c r="B4212" s="8" t="s">
        <v>2996</v>
      </c>
      <c r="C4212" t="s">
        <v>6194</v>
      </c>
      <c r="D4212" s="8" t="s">
        <v>6195</v>
      </c>
    </row>
    <row r="4213" spans="1:4" x14ac:dyDescent="0.35">
      <c r="A4213" t="s">
        <v>7453</v>
      </c>
      <c r="B4213" s="8" t="s">
        <v>2996</v>
      </c>
      <c r="C4213" t="s">
        <v>7444</v>
      </c>
      <c r="D4213" s="8" t="s">
        <v>7445</v>
      </c>
    </row>
    <row r="4214" spans="1:4" x14ac:dyDescent="0.35">
      <c r="A4214" t="s">
        <v>7454</v>
      </c>
      <c r="B4214" s="8" t="s">
        <v>2997</v>
      </c>
      <c r="C4214" t="s">
        <v>6194</v>
      </c>
      <c r="D4214" s="8" t="s">
        <v>6195</v>
      </c>
    </row>
    <row r="4215" spans="1:4" x14ac:dyDescent="0.35">
      <c r="A4215" t="s">
        <v>7454</v>
      </c>
      <c r="B4215" s="8" t="s">
        <v>2997</v>
      </c>
      <c r="C4215" t="s">
        <v>7444</v>
      </c>
      <c r="D4215" s="8" t="s">
        <v>7445</v>
      </c>
    </row>
    <row r="4216" spans="1:4" x14ac:dyDescent="0.35">
      <c r="A4216" t="s">
        <v>2998</v>
      </c>
      <c r="B4216" s="8" t="s">
        <v>2999</v>
      </c>
      <c r="C4216" t="s">
        <v>6194</v>
      </c>
      <c r="D4216" s="8" t="s">
        <v>6195</v>
      </c>
    </row>
    <row r="4217" spans="1:4" x14ac:dyDescent="0.35">
      <c r="A4217" t="s">
        <v>2998</v>
      </c>
      <c r="B4217" s="8" t="s">
        <v>2999</v>
      </c>
      <c r="C4217" t="s">
        <v>7444</v>
      </c>
      <c r="D4217" s="8" t="s">
        <v>7445</v>
      </c>
    </row>
    <row r="4218" spans="1:4" x14ac:dyDescent="0.35">
      <c r="A4218" t="s">
        <v>3000</v>
      </c>
      <c r="B4218" s="8" t="s">
        <v>3001</v>
      </c>
      <c r="C4218" t="s">
        <v>6194</v>
      </c>
      <c r="D4218" s="8" t="s">
        <v>6195</v>
      </c>
    </row>
    <row r="4219" spans="1:4" x14ac:dyDescent="0.35">
      <c r="A4219" t="s">
        <v>3000</v>
      </c>
      <c r="B4219" s="8" t="s">
        <v>3001</v>
      </c>
      <c r="C4219" t="s">
        <v>7455</v>
      </c>
      <c r="D4219" s="8" t="s">
        <v>7456</v>
      </c>
    </row>
    <row r="4220" spans="1:4" x14ac:dyDescent="0.35">
      <c r="A4220" t="s">
        <v>3002</v>
      </c>
      <c r="B4220" s="8" t="s">
        <v>3003</v>
      </c>
      <c r="C4220" t="s">
        <v>6194</v>
      </c>
      <c r="D4220" s="8" t="s">
        <v>6195</v>
      </c>
    </row>
    <row r="4221" spans="1:4" x14ac:dyDescent="0.35">
      <c r="A4221" t="s">
        <v>3002</v>
      </c>
      <c r="B4221" s="8" t="s">
        <v>3003</v>
      </c>
      <c r="C4221" t="s">
        <v>7457</v>
      </c>
      <c r="D4221" s="8" t="s">
        <v>7458</v>
      </c>
    </row>
    <row r="4222" spans="1:4" x14ac:dyDescent="0.35">
      <c r="A4222" t="s">
        <v>3004</v>
      </c>
      <c r="B4222" s="8" t="s">
        <v>3005</v>
      </c>
      <c r="C4222" t="s">
        <v>6194</v>
      </c>
      <c r="D4222" s="8" t="s">
        <v>6195</v>
      </c>
    </row>
    <row r="4223" spans="1:4" x14ac:dyDescent="0.35">
      <c r="A4223" t="s">
        <v>3004</v>
      </c>
      <c r="B4223" s="8" t="s">
        <v>3005</v>
      </c>
      <c r="C4223" t="s">
        <v>7459</v>
      </c>
      <c r="D4223" s="8" t="s">
        <v>7460</v>
      </c>
    </row>
    <row r="4224" spans="1:4" x14ac:dyDescent="0.35">
      <c r="A4224" t="s">
        <v>3006</v>
      </c>
      <c r="B4224" s="8" t="s">
        <v>3007</v>
      </c>
      <c r="C4224" t="s">
        <v>6163</v>
      </c>
      <c r="D4224" s="8" t="s">
        <v>6164</v>
      </c>
    </row>
    <row r="4225" spans="1:4" x14ac:dyDescent="0.35">
      <c r="A4225" t="s">
        <v>3008</v>
      </c>
      <c r="B4225" s="8" t="s">
        <v>3009</v>
      </c>
      <c r="C4225" t="s">
        <v>6211</v>
      </c>
      <c r="D4225" s="8" t="s">
        <v>6212</v>
      </c>
    </row>
    <row r="4226" spans="1:4" x14ac:dyDescent="0.35">
      <c r="A4226" t="s">
        <v>3010</v>
      </c>
      <c r="B4226" s="8" t="s">
        <v>3011</v>
      </c>
      <c r="C4226" t="s">
        <v>6740</v>
      </c>
      <c r="D4226" s="8" t="s">
        <v>6741</v>
      </c>
    </row>
    <row r="4227" spans="1:4" x14ac:dyDescent="0.35">
      <c r="A4227" t="s">
        <v>3010</v>
      </c>
      <c r="B4227" s="8" t="s">
        <v>3011</v>
      </c>
      <c r="C4227" t="s">
        <v>6211</v>
      </c>
      <c r="D4227" s="8" t="s">
        <v>6212</v>
      </c>
    </row>
    <row r="4228" spans="1:4" x14ac:dyDescent="0.35">
      <c r="A4228" t="s">
        <v>3010</v>
      </c>
      <c r="B4228" s="8" t="s">
        <v>3011</v>
      </c>
      <c r="C4228" t="s">
        <v>6572</v>
      </c>
      <c r="D4228" s="8" t="s">
        <v>6573</v>
      </c>
    </row>
    <row r="4229" spans="1:4" x14ac:dyDescent="0.35">
      <c r="A4229" t="s">
        <v>3012</v>
      </c>
      <c r="B4229" s="8" t="s">
        <v>3013</v>
      </c>
      <c r="C4229" t="s">
        <v>7461</v>
      </c>
      <c r="D4229" s="8" t="s">
        <v>7462</v>
      </c>
    </row>
    <row r="4230" spans="1:4" x14ac:dyDescent="0.35">
      <c r="A4230" t="s">
        <v>3014</v>
      </c>
      <c r="B4230" s="8" t="s">
        <v>3015</v>
      </c>
      <c r="C4230" t="s">
        <v>6211</v>
      </c>
      <c r="D4230" s="8" t="s">
        <v>6212</v>
      </c>
    </row>
    <row r="4231" spans="1:4" x14ac:dyDescent="0.35">
      <c r="A4231" t="s">
        <v>3016</v>
      </c>
      <c r="B4231" s="8" t="s">
        <v>3017</v>
      </c>
      <c r="C4231" t="s">
        <v>6133</v>
      </c>
      <c r="D4231" s="8" t="s">
        <v>6134</v>
      </c>
    </row>
    <row r="4232" spans="1:4" x14ac:dyDescent="0.35">
      <c r="A4232" t="s">
        <v>3018</v>
      </c>
      <c r="B4232" s="8" t="s">
        <v>3019</v>
      </c>
      <c r="C4232" t="s">
        <v>6211</v>
      </c>
      <c r="D4232" s="8" t="s">
        <v>6212</v>
      </c>
    </row>
    <row r="4233" spans="1:4" x14ac:dyDescent="0.35">
      <c r="A4233" t="s">
        <v>3018</v>
      </c>
      <c r="B4233" s="8" t="s">
        <v>3019</v>
      </c>
      <c r="C4233" t="s">
        <v>7463</v>
      </c>
      <c r="D4233" s="8" t="s">
        <v>7464</v>
      </c>
    </row>
    <row r="4234" spans="1:4" x14ac:dyDescent="0.35">
      <c r="A4234" t="s">
        <v>3018</v>
      </c>
      <c r="B4234" s="8" t="s">
        <v>3019</v>
      </c>
      <c r="C4234" t="s">
        <v>7465</v>
      </c>
      <c r="D4234" s="8" t="s">
        <v>7466</v>
      </c>
    </row>
    <row r="4235" spans="1:4" x14ac:dyDescent="0.35">
      <c r="A4235" t="s">
        <v>3020</v>
      </c>
      <c r="B4235" s="8" t="s">
        <v>3021</v>
      </c>
      <c r="C4235" t="s">
        <v>7463</v>
      </c>
      <c r="D4235" s="8" t="s">
        <v>7464</v>
      </c>
    </row>
    <row r="4236" spans="1:4" x14ac:dyDescent="0.35">
      <c r="A4236" t="s">
        <v>3020</v>
      </c>
      <c r="B4236" s="8" t="s">
        <v>3021</v>
      </c>
      <c r="C4236" t="s">
        <v>7465</v>
      </c>
      <c r="D4236" s="8" t="s">
        <v>7466</v>
      </c>
    </row>
    <row r="4237" spans="1:4" x14ac:dyDescent="0.35">
      <c r="A4237" t="s">
        <v>3022</v>
      </c>
      <c r="B4237" s="8" t="s">
        <v>3023</v>
      </c>
      <c r="C4237" t="s">
        <v>7467</v>
      </c>
      <c r="D4237" s="8" t="s">
        <v>7468</v>
      </c>
    </row>
    <row r="4238" spans="1:4" x14ac:dyDescent="0.35">
      <c r="A4238" t="s">
        <v>3024</v>
      </c>
      <c r="B4238" s="8" t="s">
        <v>3025</v>
      </c>
      <c r="C4238" t="s">
        <v>6131</v>
      </c>
      <c r="D4238" s="8" t="s">
        <v>6132</v>
      </c>
    </row>
    <row r="4239" spans="1:4" x14ac:dyDescent="0.35">
      <c r="A4239" t="s">
        <v>3024</v>
      </c>
      <c r="B4239" s="8" t="s">
        <v>3025</v>
      </c>
      <c r="C4239" t="s">
        <v>6423</v>
      </c>
      <c r="D4239" s="8" t="s">
        <v>6424</v>
      </c>
    </row>
    <row r="4240" spans="1:4" x14ac:dyDescent="0.35">
      <c r="A4240" t="s">
        <v>3026</v>
      </c>
      <c r="B4240" s="8" t="s">
        <v>3027</v>
      </c>
      <c r="C4240" t="s">
        <v>6213</v>
      </c>
      <c r="D4240" s="8" t="s">
        <v>6214</v>
      </c>
    </row>
    <row r="4241" spans="1:4" x14ac:dyDescent="0.35">
      <c r="A4241" t="s">
        <v>3028</v>
      </c>
      <c r="B4241" s="8" t="s">
        <v>3029</v>
      </c>
      <c r="C4241" t="s">
        <v>6218</v>
      </c>
      <c r="D4241" s="8" t="s">
        <v>6219</v>
      </c>
    </row>
    <row r="4242" spans="1:4" x14ac:dyDescent="0.35">
      <c r="A4242" t="s">
        <v>3028</v>
      </c>
      <c r="B4242" s="8" t="s">
        <v>3029</v>
      </c>
      <c r="C4242" t="s">
        <v>7469</v>
      </c>
      <c r="D4242" s="8" t="s">
        <v>7470</v>
      </c>
    </row>
    <row r="4243" spans="1:4" x14ac:dyDescent="0.35">
      <c r="A4243" t="s">
        <v>3028</v>
      </c>
      <c r="B4243" s="8" t="s">
        <v>3029</v>
      </c>
      <c r="C4243" t="s">
        <v>7471</v>
      </c>
      <c r="D4243" s="8" t="s">
        <v>7472</v>
      </c>
    </row>
    <row r="4244" spans="1:4" x14ac:dyDescent="0.35">
      <c r="A4244" t="s">
        <v>3028</v>
      </c>
      <c r="B4244" s="8" t="s">
        <v>3029</v>
      </c>
      <c r="C4244" t="s">
        <v>7461</v>
      </c>
      <c r="D4244" s="8" t="s">
        <v>7462</v>
      </c>
    </row>
    <row r="4245" spans="1:4" x14ac:dyDescent="0.35">
      <c r="A4245" t="s">
        <v>3028</v>
      </c>
      <c r="B4245" s="8" t="s">
        <v>3029</v>
      </c>
      <c r="C4245" t="s">
        <v>6133</v>
      </c>
      <c r="D4245" s="8" t="s">
        <v>6134</v>
      </c>
    </row>
    <row r="4246" spans="1:4" x14ac:dyDescent="0.35">
      <c r="A4246" t="s">
        <v>3028</v>
      </c>
      <c r="B4246" s="8" t="s">
        <v>3029</v>
      </c>
      <c r="C4246" t="s">
        <v>6213</v>
      </c>
      <c r="D4246" s="8" t="s">
        <v>6214</v>
      </c>
    </row>
    <row r="4247" spans="1:4" x14ac:dyDescent="0.35">
      <c r="A4247" t="s">
        <v>3030</v>
      </c>
      <c r="B4247" s="8" t="s">
        <v>3031</v>
      </c>
      <c r="C4247" t="s">
        <v>6133</v>
      </c>
      <c r="D4247" s="8" t="s">
        <v>6134</v>
      </c>
    </row>
    <row r="4248" spans="1:4" x14ac:dyDescent="0.35">
      <c r="A4248" t="s">
        <v>3030</v>
      </c>
      <c r="B4248" s="8" t="s">
        <v>3031</v>
      </c>
      <c r="C4248" t="s">
        <v>6213</v>
      </c>
      <c r="D4248" s="8" t="s">
        <v>6214</v>
      </c>
    </row>
    <row r="4249" spans="1:4" x14ac:dyDescent="0.35">
      <c r="A4249" t="s">
        <v>3032</v>
      </c>
      <c r="B4249" s="8" t="s">
        <v>3033</v>
      </c>
      <c r="C4249" t="s">
        <v>7463</v>
      </c>
      <c r="D4249" s="8" t="s">
        <v>7464</v>
      </c>
    </row>
    <row r="4250" spans="1:4" x14ac:dyDescent="0.35">
      <c r="A4250" t="s">
        <v>3032</v>
      </c>
      <c r="B4250" s="8" t="s">
        <v>3033</v>
      </c>
      <c r="C4250" t="s">
        <v>7465</v>
      </c>
      <c r="D4250" s="8" t="s">
        <v>7466</v>
      </c>
    </row>
    <row r="4251" spans="1:4" x14ac:dyDescent="0.35">
      <c r="A4251" t="s">
        <v>3034</v>
      </c>
      <c r="B4251" s="8" t="s">
        <v>3035</v>
      </c>
      <c r="C4251" t="s">
        <v>7461</v>
      </c>
      <c r="D4251" s="8" t="s">
        <v>7462</v>
      </c>
    </row>
    <row r="4252" spans="1:4" x14ac:dyDescent="0.35">
      <c r="A4252" t="s">
        <v>3034</v>
      </c>
      <c r="B4252" s="8" t="s">
        <v>3035</v>
      </c>
      <c r="C4252" t="s">
        <v>6213</v>
      </c>
      <c r="D4252" s="8" t="s">
        <v>6214</v>
      </c>
    </row>
    <row r="4253" spans="1:4" x14ac:dyDescent="0.35">
      <c r="A4253" t="s">
        <v>3036</v>
      </c>
      <c r="B4253" s="8" t="s">
        <v>3037</v>
      </c>
      <c r="C4253" t="s">
        <v>7473</v>
      </c>
      <c r="D4253" s="8" t="s">
        <v>7474</v>
      </c>
    </row>
    <row r="4254" spans="1:4" x14ac:dyDescent="0.35">
      <c r="A4254" t="s">
        <v>3038</v>
      </c>
      <c r="B4254" s="8" t="s">
        <v>3039</v>
      </c>
      <c r="C4254" t="s">
        <v>6213</v>
      </c>
      <c r="D4254" s="8" t="s">
        <v>6214</v>
      </c>
    </row>
    <row r="4255" spans="1:4" x14ac:dyDescent="0.35">
      <c r="A4255" t="s">
        <v>3040</v>
      </c>
      <c r="B4255" s="8" t="s">
        <v>3041</v>
      </c>
      <c r="C4255" t="s">
        <v>6235</v>
      </c>
      <c r="D4255" s="8" t="s">
        <v>6236</v>
      </c>
    </row>
    <row r="4256" spans="1:4" x14ac:dyDescent="0.35">
      <c r="A4256" t="s">
        <v>3040</v>
      </c>
      <c r="B4256" s="8" t="s">
        <v>3041</v>
      </c>
      <c r="C4256" t="s">
        <v>7461</v>
      </c>
      <c r="D4256" s="8" t="s">
        <v>7462</v>
      </c>
    </row>
    <row r="4257" spans="1:4" x14ac:dyDescent="0.35">
      <c r="A4257" t="s">
        <v>3042</v>
      </c>
      <c r="B4257" s="8" t="s">
        <v>3043</v>
      </c>
      <c r="C4257" t="s">
        <v>6211</v>
      </c>
      <c r="D4257" s="8" t="s">
        <v>6212</v>
      </c>
    </row>
    <row r="4258" spans="1:4" x14ac:dyDescent="0.35">
      <c r="A4258" t="s">
        <v>3044</v>
      </c>
      <c r="B4258" s="8" t="s">
        <v>3045</v>
      </c>
      <c r="C4258" t="s">
        <v>6526</v>
      </c>
      <c r="D4258" s="8" t="s">
        <v>6527</v>
      </c>
    </row>
    <row r="4259" spans="1:4" x14ac:dyDescent="0.35">
      <c r="A4259" t="s">
        <v>3044</v>
      </c>
      <c r="B4259" s="8" t="s">
        <v>3045</v>
      </c>
      <c r="C4259" t="s">
        <v>6211</v>
      </c>
      <c r="D4259" s="8" t="s">
        <v>6212</v>
      </c>
    </row>
    <row r="4260" spans="1:4" x14ac:dyDescent="0.35">
      <c r="A4260" t="s">
        <v>3044</v>
      </c>
      <c r="B4260" s="8" t="s">
        <v>3045</v>
      </c>
      <c r="C4260" t="s">
        <v>6243</v>
      </c>
      <c r="D4260" s="8" t="s">
        <v>6244</v>
      </c>
    </row>
    <row r="4261" spans="1:4" x14ac:dyDescent="0.35">
      <c r="A4261" t="s">
        <v>7475</v>
      </c>
      <c r="B4261" s="8" t="s">
        <v>3046</v>
      </c>
      <c r="C4261" t="s">
        <v>6211</v>
      </c>
      <c r="D4261" s="8" t="s">
        <v>6212</v>
      </c>
    </row>
    <row r="4262" spans="1:4" x14ac:dyDescent="0.35">
      <c r="A4262" t="s">
        <v>7475</v>
      </c>
      <c r="B4262" s="8" t="s">
        <v>3046</v>
      </c>
      <c r="C4262" t="s">
        <v>6235</v>
      </c>
      <c r="D4262" s="8" t="s">
        <v>6236</v>
      </c>
    </row>
    <row r="4263" spans="1:4" x14ac:dyDescent="0.35">
      <c r="A4263" t="s">
        <v>7476</v>
      </c>
      <c r="B4263" s="8" t="s">
        <v>3047</v>
      </c>
      <c r="C4263" t="s">
        <v>6211</v>
      </c>
      <c r="D4263" s="8" t="s">
        <v>6212</v>
      </c>
    </row>
    <row r="4264" spans="1:4" x14ac:dyDescent="0.35">
      <c r="A4264" t="s">
        <v>7476</v>
      </c>
      <c r="B4264" s="8" t="s">
        <v>3047</v>
      </c>
      <c r="C4264" t="s">
        <v>7463</v>
      </c>
      <c r="D4264" s="8" t="s">
        <v>7464</v>
      </c>
    </row>
    <row r="4265" spans="1:4" x14ac:dyDescent="0.35">
      <c r="A4265" t="s">
        <v>7476</v>
      </c>
      <c r="B4265" s="8" t="s">
        <v>3047</v>
      </c>
      <c r="C4265" t="s">
        <v>7465</v>
      </c>
      <c r="D4265" s="8" t="s">
        <v>7466</v>
      </c>
    </row>
    <row r="4266" spans="1:4" x14ac:dyDescent="0.35">
      <c r="A4266" t="s">
        <v>7477</v>
      </c>
      <c r="B4266" s="8" t="s">
        <v>3048</v>
      </c>
      <c r="C4266" t="s">
        <v>6211</v>
      </c>
      <c r="D4266" s="8" t="s">
        <v>6212</v>
      </c>
    </row>
    <row r="4267" spans="1:4" x14ac:dyDescent="0.35">
      <c r="A4267" t="s">
        <v>7478</v>
      </c>
      <c r="B4267" s="8" t="s">
        <v>3049</v>
      </c>
      <c r="C4267" t="s">
        <v>6418</v>
      </c>
      <c r="D4267" s="8" t="s">
        <v>6419</v>
      </c>
    </row>
    <row r="4268" spans="1:4" x14ac:dyDescent="0.35">
      <c r="A4268" t="s">
        <v>7478</v>
      </c>
      <c r="B4268" s="8" t="s">
        <v>3049</v>
      </c>
      <c r="C4268" t="s">
        <v>7465</v>
      </c>
      <c r="D4268" s="8" t="s">
        <v>7466</v>
      </c>
    </row>
    <row r="4269" spans="1:4" x14ac:dyDescent="0.35">
      <c r="A4269" t="s">
        <v>3050</v>
      </c>
      <c r="B4269" s="8" t="s">
        <v>3051</v>
      </c>
      <c r="C4269" t="s">
        <v>7461</v>
      </c>
      <c r="D4269" s="8" t="s">
        <v>7462</v>
      </c>
    </row>
    <row r="4270" spans="1:4" x14ac:dyDescent="0.35">
      <c r="A4270" t="s">
        <v>3052</v>
      </c>
      <c r="B4270" s="8" t="s">
        <v>3053</v>
      </c>
      <c r="C4270" t="s">
        <v>6194</v>
      </c>
      <c r="D4270" s="8" t="s">
        <v>6195</v>
      </c>
    </row>
    <row r="4271" spans="1:4" x14ac:dyDescent="0.35">
      <c r="A4271" t="s">
        <v>3052</v>
      </c>
      <c r="B4271" s="8" t="s">
        <v>3053</v>
      </c>
      <c r="C4271" t="s">
        <v>7471</v>
      </c>
      <c r="D4271" s="8" t="s">
        <v>7472</v>
      </c>
    </row>
    <row r="4272" spans="1:4" x14ac:dyDescent="0.35">
      <c r="A4272" t="s">
        <v>3054</v>
      </c>
      <c r="B4272" s="8" t="s">
        <v>3055</v>
      </c>
      <c r="C4272" t="s">
        <v>6194</v>
      </c>
      <c r="D4272" s="8" t="s">
        <v>6195</v>
      </c>
    </row>
    <row r="4273" spans="1:4" x14ac:dyDescent="0.35">
      <c r="A4273" t="s">
        <v>3054</v>
      </c>
      <c r="B4273" s="8" t="s">
        <v>3055</v>
      </c>
      <c r="C4273" t="s">
        <v>7479</v>
      </c>
      <c r="D4273" s="8" t="s">
        <v>7480</v>
      </c>
    </row>
    <row r="4274" spans="1:4" x14ac:dyDescent="0.35">
      <c r="A4274" t="s">
        <v>3056</v>
      </c>
      <c r="B4274" s="8" t="s">
        <v>3057</v>
      </c>
      <c r="C4274" t="s">
        <v>6194</v>
      </c>
      <c r="D4274" s="8" t="s">
        <v>6195</v>
      </c>
    </row>
    <row r="4275" spans="1:4" x14ac:dyDescent="0.35">
      <c r="A4275" t="s">
        <v>3056</v>
      </c>
      <c r="B4275" s="8" t="s">
        <v>3057</v>
      </c>
      <c r="C4275" t="s">
        <v>7481</v>
      </c>
      <c r="D4275" s="8" t="s">
        <v>7482</v>
      </c>
    </row>
    <row r="4276" spans="1:4" x14ac:dyDescent="0.35">
      <c r="A4276" t="s">
        <v>3058</v>
      </c>
      <c r="B4276" s="8" t="s">
        <v>3059</v>
      </c>
      <c r="C4276" t="s">
        <v>6194</v>
      </c>
      <c r="D4276" s="8" t="s">
        <v>6195</v>
      </c>
    </row>
    <row r="4277" spans="1:4" x14ac:dyDescent="0.35">
      <c r="A4277" t="s">
        <v>3058</v>
      </c>
      <c r="B4277" s="8" t="s">
        <v>3059</v>
      </c>
      <c r="C4277" t="s">
        <v>7483</v>
      </c>
      <c r="D4277" s="8" t="s">
        <v>7484</v>
      </c>
    </row>
    <row r="4278" spans="1:4" x14ac:dyDescent="0.35">
      <c r="A4278" t="s">
        <v>3060</v>
      </c>
      <c r="B4278" s="8" t="s">
        <v>3062</v>
      </c>
      <c r="C4278" t="s">
        <v>7485</v>
      </c>
      <c r="D4278" s="8" t="s">
        <v>7486</v>
      </c>
    </row>
    <row r="4279" spans="1:4" x14ac:dyDescent="0.35">
      <c r="A4279" t="s">
        <v>3065</v>
      </c>
      <c r="B4279" s="8" t="s">
        <v>3066</v>
      </c>
      <c r="C4279" t="s">
        <v>7471</v>
      </c>
      <c r="D4279" s="8" t="s">
        <v>7472</v>
      </c>
    </row>
    <row r="4280" spans="1:4" x14ac:dyDescent="0.35">
      <c r="A4280" t="s">
        <v>3067</v>
      </c>
      <c r="B4280" s="8" t="s">
        <v>3068</v>
      </c>
      <c r="C4280" t="s">
        <v>7487</v>
      </c>
      <c r="D4280" s="8" t="s">
        <v>7488</v>
      </c>
    </row>
    <row r="4281" spans="1:4" x14ac:dyDescent="0.35">
      <c r="A4281" t="s">
        <v>3069</v>
      </c>
      <c r="B4281" s="8" t="s">
        <v>3070</v>
      </c>
      <c r="C4281" t="s">
        <v>7489</v>
      </c>
      <c r="D4281" s="8" t="s">
        <v>7490</v>
      </c>
    </row>
    <row r="4282" spans="1:4" x14ac:dyDescent="0.35">
      <c r="A4282" t="s">
        <v>3071</v>
      </c>
      <c r="B4282" s="8" t="s">
        <v>3072</v>
      </c>
      <c r="C4282" t="s">
        <v>7491</v>
      </c>
      <c r="D4282" s="8" t="s">
        <v>7492</v>
      </c>
    </row>
    <row r="4283" spans="1:4" x14ac:dyDescent="0.35">
      <c r="A4283" t="s">
        <v>3073</v>
      </c>
      <c r="B4283" s="8" t="s">
        <v>3075</v>
      </c>
      <c r="C4283" t="s">
        <v>7471</v>
      </c>
      <c r="D4283" s="8" t="s">
        <v>7472</v>
      </c>
    </row>
    <row r="4284" spans="1:4" x14ac:dyDescent="0.35">
      <c r="A4284" t="s">
        <v>3076</v>
      </c>
      <c r="B4284" s="8" t="s">
        <v>3077</v>
      </c>
      <c r="C4284" t="s">
        <v>7491</v>
      </c>
      <c r="D4284" s="8" t="s">
        <v>7492</v>
      </c>
    </row>
    <row r="4285" spans="1:4" x14ac:dyDescent="0.35">
      <c r="A4285" t="s">
        <v>3076</v>
      </c>
      <c r="B4285" s="8" t="s">
        <v>3077</v>
      </c>
      <c r="C4285" t="s">
        <v>7461</v>
      </c>
      <c r="D4285" s="8" t="s">
        <v>7462</v>
      </c>
    </row>
    <row r="4286" spans="1:4" x14ac:dyDescent="0.35">
      <c r="A4286" t="s">
        <v>3078</v>
      </c>
      <c r="B4286" s="8" t="s">
        <v>3079</v>
      </c>
      <c r="C4286" t="s">
        <v>7461</v>
      </c>
      <c r="D4286" s="8" t="s">
        <v>7462</v>
      </c>
    </row>
    <row r="4287" spans="1:4" x14ac:dyDescent="0.35">
      <c r="A4287" t="s">
        <v>3080</v>
      </c>
      <c r="B4287" s="8" t="s">
        <v>3081</v>
      </c>
      <c r="C4287" t="s">
        <v>7461</v>
      </c>
      <c r="D4287" s="8" t="s">
        <v>7462</v>
      </c>
    </row>
    <row r="4288" spans="1:4" x14ac:dyDescent="0.35">
      <c r="A4288" t="s">
        <v>3082</v>
      </c>
      <c r="B4288" s="8" t="s">
        <v>3083</v>
      </c>
      <c r="C4288" t="s">
        <v>7461</v>
      </c>
      <c r="D4288" s="8" t="s">
        <v>7462</v>
      </c>
    </row>
    <row r="4289" spans="1:4" x14ac:dyDescent="0.35">
      <c r="A4289" t="s">
        <v>3084</v>
      </c>
      <c r="B4289" s="8" t="s">
        <v>3085</v>
      </c>
      <c r="C4289" t="s">
        <v>6194</v>
      </c>
      <c r="D4289" s="8" t="s">
        <v>6195</v>
      </c>
    </row>
    <row r="4290" spans="1:4" x14ac:dyDescent="0.35">
      <c r="A4290" t="s">
        <v>3084</v>
      </c>
      <c r="B4290" s="8" t="s">
        <v>3085</v>
      </c>
      <c r="C4290" t="s">
        <v>7493</v>
      </c>
      <c r="D4290" s="8" t="s">
        <v>7494</v>
      </c>
    </row>
    <row r="4291" spans="1:4" x14ac:dyDescent="0.35">
      <c r="A4291" t="s">
        <v>3086</v>
      </c>
      <c r="B4291" s="8" t="s">
        <v>3087</v>
      </c>
      <c r="C4291" t="s">
        <v>6194</v>
      </c>
      <c r="D4291" s="8" t="s">
        <v>6195</v>
      </c>
    </row>
    <row r="4292" spans="1:4" x14ac:dyDescent="0.35">
      <c r="A4292" t="s">
        <v>3086</v>
      </c>
      <c r="B4292" s="8" t="s">
        <v>3087</v>
      </c>
      <c r="C4292" t="s">
        <v>7493</v>
      </c>
      <c r="D4292" s="8" t="s">
        <v>7494</v>
      </c>
    </row>
    <row r="4293" spans="1:4" x14ac:dyDescent="0.35">
      <c r="A4293" t="s">
        <v>3088</v>
      </c>
      <c r="B4293" s="8" t="s">
        <v>3089</v>
      </c>
      <c r="C4293" t="s">
        <v>6194</v>
      </c>
      <c r="D4293" s="8" t="s">
        <v>6195</v>
      </c>
    </row>
    <row r="4294" spans="1:4" x14ac:dyDescent="0.35">
      <c r="A4294" t="s">
        <v>3088</v>
      </c>
      <c r="B4294" s="8" t="s">
        <v>3089</v>
      </c>
      <c r="C4294" t="s">
        <v>7491</v>
      </c>
      <c r="D4294" s="8" t="s">
        <v>7492</v>
      </c>
    </row>
    <row r="4295" spans="1:4" x14ac:dyDescent="0.35">
      <c r="A4295" t="s">
        <v>3090</v>
      </c>
      <c r="B4295" s="8" t="s">
        <v>3091</v>
      </c>
      <c r="C4295" t="s">
        <v>6194</v>
      </c>
      <c r="D4295" s="8" t="s">
        <v>6195</v>
      </c>
    </row>
    <row r="4296" spans="1:4" x14ac:dyDescent="0.35">
      <c r="A4296" t="s">
        <v>3090</v>
      </c>
      <c r="B4296" s="8" t="s">
        <v>3091</v>
      </c>
      <c r="C4296" t="s">
        <v>7495</v>
      </c>
      <c r="D4296" s="8" t="s">
        <v>7496</v>
      </c>
    </row>
    <row r="4297" spans="1:4" x14ac:dyDescent="0.35">
      <c r="A4297" t="s">
        <v>3090</v>
      </c>
      <c r="B4297" s="8" t="s">
        <v>3091</v>
      </c>
      <c r="C4297" t="s">
        <v>7497</v>
      </c>
      <c r="D4297" s="8" t="s">
        <v>7498</v>
      </c>
    </row>
    <row r="4298" spans="1:4" x14ac:dyDescent="0.35">
      <c r="A4298" t="s">
        <v>3092</v>
      </c>
      <c r="B4298" s="8" t="s">
        <v>3093</v>
      </c>
      <c r="C4298" t="s">
        <v>6194</v>
      </c>
      <c r="D4298" s="8" t="s">
        <v>6195</v>
      </c>
    </row>
    <row r="4299" spans="1:4" x14ac:dyDescent="0.35">
      <c r="A4299" t="s">
        <v>3092</v>
      </c>
      <c r="B4299" s="8" t="s">
        <v>3093</v>
      </c>
      <c r="C4299" t="s">
        <v>7499</v>
      </c>
      <c r="D4299" s="8" t="s">
        <v>7500</v>
      </c>
    </row>
    <row r="4300" spans="1:4" x14ac:dyDescent="0.35">
      <c r="A4300" t="s">
        <v>3094</v>
      </c>
      <c r="B4300" s="8" t="s">
        <v>3095</v>
      </c>
      <c r="C4300" t="s">
        <v>6194</v>
      </c>
      <c r="D4300" s="8" t="s">
        <v>6195</v>
      </c>
    </row>
    <row r="4301" spans="1:4" x14ac:dyDescent="0.35">
      <c r="A4301" t="s">
        <v>3094</v>
      </c>
      <c r="B4301" s="8" t="s">
        <v>3095</v>
      </c>
      <c r="C4301" t="s">
        <v>7493</v>
      </c>
      <c r="D4301" s="8" t="s">
        <v>7494</v>
      </c>
    </row>
    <row r="4302" spans="1:4" x14ac:dyDescent="0.35">
      <c r="A4302" t="s">
        <v>3096</v>
      </c>
      <c r="B4302" s="8" t="s">
        <v>3097</v>
      </c>
      <c r="C4302" t="s">
        <v>6194</v>
      </c>
      <c r="D4302" s="8" t="s">
        <v>6195</v>
      </c>
    </row>
    <row r="4303" spans="1:4" x14ac:dyDescent="0.35">
      <c r="A4303" t="s">
        <v>3096</v>
      </c>
      <c r="B4303" s="8" t="s">
        <v>3097</v>
      </c>
      <c r="C4303" t="s">
        <v>7501</v>
      </c>
      <c r="D4303" s="8" t="s">
        <v>7502</v>
      </c>
    </row>
    <row r="4304" spans="1:4" x14ac:dyDescent="0.35">
      <c r="A4304" t="s">
        <v>3096</v>
      </c>
      <c r="B4304" s="8" t="s">
        <v>3097</v>
      </c>
      <c r="C4304" t="s">
        <v>7503</v>
      </c>
      <c r="D4304" s="8" t="s">
        <v>7504</v>
      </c>
    </row>
    <row r="4305" spans="1:4" x14ac:dyDescent="0.35">
      <c r="A4305" t="s">
        <v>3096</v>
      </c>
      <c r="B4305" s="8" t="s">
        <v>3097</v>
      </c>
      <c r="C4305" t="s">
        <v>7505</v>
      </c>
      <c r="D4305" s="8" t="s">
        <v>7506</v>
      </c>
    </row>
    <row r="4306" spans="1:4" x14ac:dyDescent="0.35">
      <c r="A4306" t="s">
        <v>3096</v>
      </c>
      <c r="B4306" s="8" t="s">
        <v>3097</v>
      </c>
      <c r="C4306" t="s">
        <v>7491</v>
      </c>
      <c r="D4306" s="8" t="s">
        <v>7492</v>
      </c>
    </row>
    <row r="4307" spans="1:4" x14ac:dyDescent="0.35">
      <c r="A4307" t="s">
        <v>3098</v>
      </c>
      <c r="B4307" s="8" t="s">
        <v>3099</v>
      </c>
      <c r="C4307" t="s">
        <v>6194</v>
      </c>
      <c r="D4307" s="8" t="s">
        <v>6195</v>
      </c>
    </row>
    <row r="4308" spans="1:4" x14ac:dyDescent="0.35">
      <c r="A4308" t="s">
        <v>3098</v>
      </c>
      <c r="B4308" s="8" t="s">
        <v>3099</v>
      </c>
      <c r="C4308" t="s">
        <v>7507</v>
      </c>
      <c r="D4308" s="8" t="s">
        <v>7508</v>
      </c>
    </row>
    <row r="4309" spans="1:4" x14ac:dyDescent="0.35">
      <c r="A4309" t="s">
        <v>3098</v>
      </c>
      <c r="B4309" s="8" t="s">
        <v>3099</v>
      </c>
      <c r="C4309" t="s">
        <v>7491</v>
      </c>
      <c r="D4309" s="8" t="s">
        <v>7492</v>
      </c>
    </row>
    <row r="4310" spans="1:4" x14ac:dyDescent="0.35">
      <c r="A4310" t="s">
        <v>3100</v>
      </c>
      <c r="B4310" s="8" t="s">
        <v>3101</v>
      </c>
      <c r="C4310" t="s">
        <v>6194</v>
      </c>
      <c r="D4310" s="8" t="s">
        <v>6195</v>
      </c>
    </row>
    <row r="4311" spans="1:4" x14ac:dyDescent="0.35">
      <c r="A4311" t="s">
        <v>3100</v>
      </c>
      <c r="B4311" s="8" t="s">
        <v>3101</v>
      </c>
      <c r="C4311" t="s">
        <v>7489</v>
      </c>
      <c r="D4311" s="8" t="s">
        <v>7490</v>
      </c>
    </row>
    <row r="4312" spans="1:4" x14ac:dyDescent="0.35">
      <c r="A4312" t="s">
        <v>3100</v>
      </c>
      <c r="B4312" s="8" t="s">
        <v>3101</v>
      </c>
      <c r="C4312" t="s">
        <v>7509</v>
      </c>
      <c r="D4312" s="8" t="s">
        <v>7510</v>
      </c>
    </row>
    <row r="4313" spans="1:4" x14ac:dyDescent="0.35">
      <c r="A4313" t="s">
        <v>3102</v>
      </c>
      <c r="B4313" s="8" t="s">
        <v>3103</v>
      </c>
      <c r="C4313" t="s">
        <v>6194</v>
      </c>
      <c r="D4313" s="8" t="s">
        <v>6195</v>
      </c>
    </row>
    <row r="4314" spans="1:4" x14ac:dyDescent="0.35">
      <c r="A4314" t="s">
        <v>3102</v>
      </c>
      <c r="B4314" s="8" t="s">
        <v>3103</v>
      </c>
      <c r="C4314" t="s">
        <v>7511</v>
      </c>
      <c r="D4314" s="8" t="s">
        <v>7512</v>
      </c>
    </row>
    <row r="4315" spans="1:4" x14ac:dyDescent="0.35">
      <c r="A4315" t="s">
        <v>3104</v>
      </c>
      <c r="B4315" s="8" t="s">
        <v>3105</v>
      </c>
      <c r="C4315" t="s">
        <v>6194</v>
      </c>
      <c r="D4315" s="8" t="s">
        <v>6195</v>
      </c>
    </row>
    <row r="4316" spans="1:4" x14ac:dyDescent="0.35">
      <c r="A4316" t="s">
        <v>3104</v>
      </c>
      <c r="B4316" s="8" t="s">
        <v>3105</v>
      </c>
      <c r="C4316" t="s">
        <v>7503</v>
      </c>
      <c r="D4316" s="8" t="s">
        <v>7504</v>
      </c>
    </row>
    <row r="4317" spans="1:4" x14ac:dyDescent="0.35">
      <c r="A4317" t="s">
        <v>3106</v>
      </c>
      <c r="B4317" s="8" t="s">
        <v>3107</v>
      </c>
      <c r="C4317" t="s">
        <v>6194</v>
      </c>
      <c r="D4317" s="8" t="s">
        <v>6195</v>
      </c>
    </row>
    <row r="4318" spans="1:4" x14ac:dyDescent="0.35">
      <c r="A4318" t="s">
        <v>3106</v>
      </c>
      <c r="B4318" s="8" t="s">
        <v>3107</v>
      </c>
      <c r="C4318" t="s">
        <v>7513</v>
      </c>
      <c r="D4318" s="8" t="s">
        <v>7514</v>
      </c>
    </row>
    <row r="4319" spans="1:4" x14ac:dyDescent="0.35">
      <c r="A4319" t="s">
        <v>3108</v>
      </c>
      <c r="B4319" s="8" t="s">
        <v>3109</v>
      </c>
      <c r="C4319" t="s">
        <v>6194</v>
      </c>
      <c r="D4319" s="8" t="s">
        <v>6195</v>
      </c>
    </row>
    <row r="4320" spans="1:4" x14ac:dyDescent="0.35">
      <c r="A4320" t="s">
        <v>3108</v>
      </c>
      <c r="B4320" s="8" t="s">
        <v>3109</v>
      </c>
      <c r="C4320" t="s">
        <v>6969</v>
      </c>
      <c r="D4320" s="8" t="s">
        <v>6970</v>
      </c>
    </row>
    <row r="4321" spans="1:4" x14ac:dyDescent="0.35">
      <c r="A4321" t="s">
        <v>3110</v>
      </c>
      <c r="B4321" s="8" t="s">
        <v>3111</v>
      </c>
      <c r="C4321" t="s">
        <v>6194</v>
      </c>
      <c r="D4321" s="8" t="s">
        <v>6195</v>
      </c>
    </row>
    <row r="4322" spans="1:4" x14ac:dyDescent="0.35">
      <c r="A4322" t="s">
        <v>3110</v>
      </c>
      <c r="B4322" s="8" t="s">
        <v>3111</v>
      </c>
      <c r="C4322" t="s">
        <v>7491</v>
      </c>
      <c r="D4322" s="8" t="s">
        <v>7492</v>
      </c>
    </row>
    <row r="4323" spans="1:4" x14ac:dyDescent="0.35">
      <c r="A4323" t="s">
        <v>3112</v>
      </c>
      <c r="B4323" s="8" t="s">
        <v>3113</v>
      </c>
      <c r="C4323" t="s">
        <v>6194</v>
      </c>
      <c r="D4323" s="8" t="s">
        <v>6195</v>
      </c>
    </row>
    <row r="4324" spans="1:4" x14ac:dyDescent="0.35">
      <c r="A4324" t="s">
        <v>3112</v>
      </c>
      <c r="B4324" s="8" t="s">
        <v>3113</v>
      </c>
      <c r="C4324" t="s">
        <v>7493</v>
      </c>
      <c r="D4324" s="8" t="s">
        <v>7494</v>
      </c>
    </row>
    <row r="4325" spans="1:4" x14ac:dyDescent="0.35">
      <c r="A4325" t="s">
        <v>3112</v>
      </c>
      <c r="B4325" s="8" t="s">
        <v>3113</v>
      </c>
      <c r="C4325" t="s">
        <v>7491</v>
      </c>
      <c r="D4325" s="8" t="s">
        <v>7492</v>
      </c>
    </row>
    <row r="4326" spans="1:4" x14ac:dyDescent="0.35">
      <c r="A4326" t="s">
        <v>3114</v>
      </c>
      <c r="B4326" s="8" t="s">
        <v>3115</v>
      </c>
      <c r="C4326" t="s">
        <v>6738</v>
      </c>
      <c r="D4326" s="8" t="s">
        <v>6739</v>
      </c>
    </row>
    <row r="4327" spans="1:4" x14ac:dyDescent="0.35">
      <c r="A4327" t="s">
        <v>3114</v>
      </c>
      <c r="B4327" s="8" t="s">
        <v>3115</v>
      </c>
      <c r="C4327" t="s">
        <v>6713</v>
      </c>
      <c r="D4327" s="8" t="s">
        <v>6714</v>
      </c>
    </row>
    <row r="4328" spans="1:4" x14ac:dyDescent="0.35">
      <c r="A4328" t="s">
        <v>3114</v>
      </c>
      <c r="B4328" s="8" t="s">
        <v>3115</v>
      </c>
      <c r="C4328" t="s">
        <v>6194</v>
      </c>
      <c r="D4328" s="8" t="s">
        <v>6195</v>
      </c>
    </row>
    <row r="4329" spans="1:4" x14ac:dyDescent="0.35">
      <c r="A4329" t="s">
        <v>3114</v>
      </c>
      <c r="B4329" s="8" t="s">
        <v>3115</v>
      </c>
      <c r="C4329" t="s">
        <v>7491</v>
      </c>
      <c r="D4329" s="8" t="s">
        <v>7492</v>
      </c>
    </row>
    <row r="4330" spans="1:4" x14ac:dyDescent="0.35">
      <c r="A4330" t="s">
        <v>3116</v>
      </c>
      <c r="B4330" s="8" t="s">
        <v>3117</v>
      </c>
      <c r="C4330" t="s">
        <v>6194</v>
      </c>
      <c r="D4330" s="8" t="s">
        <v>6195</v>
      </c>
    </row>
    <row r="4331" spans="1:4" x14ac:dyDescent="0.35">
      <c r="A4331" t="s">
        <v>3116</v>
      </c>
      <c r="B4331" s="8" t="s">
        <v>3117</v>
      </c>
      <c r="C4331" t="s">
        <v>7491</v>
      </c>
      <c r="D4331" s="8" t="s">
        <v>7492</v>
      </c>
    </row>
    <row r="4332" spans="1:4" x14ac:dyDescent="0.35">
      <c r="A4332" t="s">
        <v>3118</v>
      </c>
      <c r="B4332" s="8" t="s">
        <v>3119</v>
      </c>
      <c r="C4332" t="s">
        <v>7515</v>
      </c>
      <c r="D4332" s="8" t="s">
        <v>7516</v>
      </c>
    </row>
    <row r="4333" spans="1:4" x14ac:dyDescent="0.35">
      <c r="A4333" t="s">
        <v>3120</v>
      </c>
      <c r="B4333" s="8" t="s">
        <v>3122</v>
      </c>
      <c r="C4333" t="s">
        <v>6194</v>
      </c>
      <c r="D4333" s="8" t="s">
        <v>6195</v>
      </c>
    </row>
    <row r="4334" spans="1:4" x14ac:dyDescent="0.35">
      <c r="A4334" t="s">
        <v>3120</v>
      </c>
      <c r="B4334" s="8" t="s">
        <v>3122</v>
      </c>
      <c r="C4334" t="s">
        <v>7503</v>
      </c>
      <c r="D4334" s="8" t="s">
        <v>7504</v>
      </c>
    </row>
    <row r="4335" spans="1:4" x14ac:dyDescent="0.35">
      <c r="A4335" t="s">
        <v>3123</v>
      </c>
      <c r="B4335" s="8" t="s">
        <v>3124</v>
      </c>
      <c r="C4335" t="s">
        <v>6194</v>
      </c>
      <c r="D4335" s="8" t="s">
        <v>6195</v>
      </c>
    </row>
    <row r="4336" spans="1:4" x14ac:dyDescent="0.35">
      <c r="A4336" t="s">
        <v>3123</v>
      </c>
      <c r="B4336" s="8" t="s">
        <v>3124</v>
      </c>
      <c r="C4336" t="s">
        <v>7517</v>
      </c>
      <c r="D4336" s="8" t="s">
        <v>7518</v>
      </c>
    </row>
    <row r="4337" spans="1:4" x14ac:dyDescent="0.35">
      <c r="A4337" t="s">
        <v>7519</v>
      </c>
      <c r="B4337" s="8" t="s">
        <v>3125</v>
      </c>
      <c r="C4337" t="s">
        <v>6194</v>
      </c>
      <c r="D4337" s="8" t="s">
        <v>6195</v>
      </c>
    </row>
    <row r="4338" spans="1:4" x14ac:dyDescent="0.35">
      <c r="A4338" t="s">
        <v>7519</v>
      </c>
      <c r="B4338" s="8" t="s">
        <v>3125</v>
      </c>
      <c r="C4338" t="s">
        <v>7491</v>
      </c>
      <c r="D4338" s="8" t="s">
        <v>7492</v>
      </c>
    </row>
    <row r="4339" spans="1:4" x14ac:dyDescent="0.35">
      <c r="A4339" t="s">
        <v>7520</v>
      </c>
      <c r="B4339" s="8" t="s">
        <v>3126</v>
      </c>
      <c r="C4339" t="s">
        <v>6194</v>
      </c>
      <c r="D4339" s="8" t="s">
        <v>6195</v>
      </c>
    </row>
    <row r="4340" spans="1:4" x14ac:dyDescent="0.35">
      <c r="A4340" t="s">
        <v>7520</v>
      </c>
      <c r="B4340" s="8" t="s">
        <v>3126</v>
      </c>
      <c r="C4340" t="s">
        <v>7491</v>
      </c>
      <c r="D4340" s="8" t="s">
        <v>7492</v>
      </c>
    </row>
    <row r="4341" spans="1:4" x14ac:dyDescent="0.35">
      <c r="A4341" t="s">
        <v>7521</v>
      </c>
      <c r="B4341" s="8" t="s">
        <v>3127</v>
      </c>
      <c r="C4341" t="s">
        <v>6194</v>
      </c>
      <c r="D4341" s="8" t="s">
        <v>6195</v>
      </c>
    </row>
    <row r="4342" spans="1:4" x14ac:dyDescent="0.35">
      <c r="A4342" t="s">
        <v>7521</v>
      </c>
      <c r="B4342" s="8" t="s">
        <v>3127</v>
      </c>
      <c r="C4342" t="s">
        <v>7491</v>
      </c>
      <c r="D4342" s="8" t="s">
        <v>7492</v>
      </c>
    </row>
    <row r="4343" spans="1:4" x14ac:dyDescent="0.35">
      <c r="A4343" t="s">
        <v>3128</v>
      </c>
      <c r="B4343" s="8" t="s">
        <v>3129</v>
      </c>
      <c r="C4343" t="s">
        <v>6194</v>
      </c>
      <c r="D4343" s="8" t="s">
        <v>6195</v>
      </c>
    </row>
    <row r="4344" spans="1:4" x14ac:dyDescent="0.35">
      <c r="A4344" t="s">
        <v>3128</v>
      </c>
      <c r="B4344" s="8" t="s">
        <v>3129</v>
      </c>
      <c r="C4344" t="s">
        <v>7491</v>
      </c>
      <c r="D4344" s="8" t="s">
        <v>7492</v>
      </c>
    </row>
    <row r="4345" spans="1:4" x14ac:dyDescent="0.35">
      <c r="A4345" t="s">
        <v>3130</v>
      </c>
      <c r="B4345" s="8" t="s">
        <v>3131</v>
      </c>
      <c r="C4345" t="s">
        <v>6194</v>
      </c>
      <c r="D4345" s="8" t="s">
        <v>6195</v>
      </c>
    </row>
    <row r="4346" spans="1:4" x14ac:dyDescent="0.35">
      <c r="A4346" t="s">
        <v>3130</v>
      </c>
      <c r="B4346" s="8" t="s">
        <v>3131</v>
      </c>
      <c r="C4346" t="s">
        <v>7479</v>
      </c>
      <c r="D4346" s="8" t="s">
        <v>7480</v>
      </c>
    </row>
    <row r="4347" spans="1:4" x14ac:dyDescent="0.35">
      <c r="A4347" t="s">
        <v>3132</v>
      </c>
      <c r="B4347" s="8" t="s">
        <v>3133</v>
      </c>
      <c r="C4347" t="s">
        <v>6194</v>
      </c>
      <c r="D4347" s="8" t="s">
        <v>6195</v>
      </c>
    </row>
    <row r="4348" spans="1:4" x14ac:dyDescent="0.35">
      <c r="A4348" t="s">
        <v>3132</v>
      </c>
      <c r="B4348" s="8" t="s">
        <v>3133</v>
      </c>
      <c r="C4348" t="s">
        <v>6847</v>
      </c>
      <c r="D4348" s="8" t="s">
        <v>6848</v>
      </c>
    </row>
    <row r="4349" spans="1:4" x14ac:dyDescent="0.35">
      <c r="A4349" t="s">
        <v>3134</v>
      </c>
      <c r="B4349" s="8" t="s">
        <v>3135</v>
      </c>
      <c r="C4349" t="s">
        <v>6194</v>
      </c>
      <c r="D4349" s="8" t="s">
        <v>6195</v>
      </c>
    </row>
    <row r="4350" spans="1:4" x14ac:dyDescent="0.35">
      <c r="A4350" t="s">
        <v>3134</v>
      </c>
      <c r="B4350" s="8" t="s">
        <v>3135</v>
      </c>
      <c r="C4350" t="s">
        <v>7479</v>
      </c>
      <c r="D4350" s="8" t="s">
        <v>7480</v>
      </c>
    </row>
    <row r="4351" spans="1:4" x14ac:dyDescent="0.35">
      <c r="A4351" t="s">
        <v>3136</v>
      </c>
      <c r="B4351" s="8" t="s">
        <v>3137</v>
      </c>
      <c r="C4351" t="s">
        <v>6194</v>
      </c>
      <c r="D4351" s="8" t="s">
        <v>6195</v>
      </c>
    </row>
    <row r="4352" spans="1:4" x14ac:dyDescent="0.35">
      <c r="A4352" t="s">
        <v>3136</v>
      </c>
      <c r="B4352" s="8" t="s">
        <v>3137</v>
      </c>
      <c r="C4352" t="s">
        <v>7479</v>
      </c>
      <c r="D4352" s="8" t="s">
        <v>7480</v>
      </c>
    </row>
    <row r="4353" spans="1:4" x14ac:dyDescent="0.35">
      <c r="A4353" t="s">
        <v>3138</v>
      </c>
      <c r="B4353" s="8" t="s">
        <v>3139</v>
      </c>
      <c r="C4353" t="s">
        <v>6194</v>
      </c>
      <c r="D4353" s="8" t="s">
        <v>6195</v>
      </c>
    </row>
    <row r="4354" spans="1:4" x14ac:dyDescent="0.35">
      <c r="A4354" t="s">
        <v>3138</v>
      </c>
      <c r="B4354" s="8" t="s">
        <v>3139</v>
      </c>
      <c r="C4354" t="s">
        <v>6847</v>
      </c>
      <c r="D4354" s="8" t="s">
        <v>6848</v>
      </c>
    </row>
    <row r="4355" spans="1:4" x14ac:dyDescent="0.35">
      <c r="A4355" t="s">
        <v>3140</v>
      </c>
      <c r="B4355" s="8" t="s">
        <v>3141</v>
      </c>
      <c r="C4355" t="s">
        <v>6194</v>
      </c>
      <c r="D4355" s="8" t="s">
        <v>6195</v>
      </c>
    </row>
    <row r="4356" spans="1:4" x14ac:dyDescent="0.35">
      <c r="A4356" t="s">
        <v>3140</v>
      </c>
      <c r="B4356" s="8" t="s">
        <v>3141</v>
      </c>
      <c r="C4356" t="s">
        <v>7522</v>
      </c>
      <c r="D4356" s="8" t="s">
        <v>7523</v>
      </c>
    </row>
    <row r="4357" spans="1:4" x14ac:dyDescent="0.35">
      <c r="A4357" t="s">
        <v>3142</v>
      </c>
      <c r="B4357" s="8" t="s">
        <v>3143</v>
      </c>
      <c r="C4357" t="s">
        <v>6194</v>
      </c>
      <c r="D4357" s="8" t="s">
        <v>6195</v>
      </c>
    </row>
    <row r="4358" spans="1:4" x14ac:dyDescent="0.35">
      <c r="A4358" t="s">
        <v>3142</v>
      </c>
      <c r="B4358" s="8" t="s">
        <v>3143</v>
      </c>
      <c r="C4358" t="s">
        <v>6847</v>
      </c>
      <c r="D4358" s="8" t="s">
        <v>6848</v>
      </c>
    </row>
    <row r="4359" spans="1:4" x14ac:dyDescent="0.35">
      <c r="A4359" t="s">
        <v>3144</v>
      </c>
      <c r="B4359" s="8" t="s">
        <v>3145</v>
      </c>
      <c r="C4359" t="s">
        <v>6194</v>
      </c>
      <c r="D4359" s="8" t="s">
        <v>6195</v>
      </c>
    </row>
    <row r="4360" spans="1:4" x14ac:dyDescent="0.35">
      <c r="A4360" t="s">
        <v>3144</v>
      </c>
      <c r="B4360" s="8" t="s">
        <v>3145</v>
      </c>
      <c r="C4360" t="s">
        <v>7479</v>
      </c>
      <c r="D4360" s="8" t="s">
        <v>7480</v>
      </c>
    </row>
    <row r="4361" spans="1:4" x14ac:dyDescent="0.35">
      <c r="A4361" t="s">
        <v>3146</v>
      </c>
      <c r="B4361" s="8" t="s">
        <v>3147</v>
      </c>
      <c r="C4361" t="s">
        <v>6194</v>
      </c>
      <c r="D4361" s="8" t="s">
        <v>6195</v>
      </c>
    </row>
    <row r="4362" spans="1:4" x14ac:dyDescent="0.35">
      <c r="A4362" t="s">
        <v>3146</v>
      </c>
      <c r="B4362" s="8" t="s">
        <v>3147</v>
      </c>
      <c r="C4362" t="s">
        <v>7524</v>
      </c>
      <c r="D4362" s="8" t="s">
        <v>7525</v>
      </c>
    </row>
    <row r="4363" spans="1:4" x14ac:dyDescent="0.35">
      <c r="A4363" t="s">
        <v>3148</v>
      </c>
      <c r="B4363" s="8" t="s">
        <v>3149</v>
      </c>
      <c r="C4363" t="s">
        <v>6194</v>
      </c>
      <c r="D4363" s="8" t="s">
        <v>6195</v>
      </c>
    </row>
    <row r="4364" spans="1:4" x14ac:dyDescent="0.35">
      <c r="A4364" t="s">
        <v>3148</v>
      </c>
      <c r="B4364" s="8" t="s">
        <v>3149</v>
      </c>
      <c r="C4364" t="s">
        <v>6847</v>
      </c>
      <c r="D4364" s="8" t="s">
        <v>6848</v>
      </c>
    </row>
    <row r="4365" spans="1:4" x14ac:dyDescent="0.35">
      <c r="A4365" t="s">
        <v>3148</v>
      </c>
      <c r="B4365" s="8" t="s">
        <v>3149</v>
      </c>
      <c r="C4365" t="s">
        <v>7479</v>
      </c>
      <c r="D4365" s="8" t="s">
        <v>7480</v>
      </c>
    </row>
    <row r="4366" spans="1:4" x14ac:dyDescent="0.35">
      <c r="A4366" t="s">
        <v>3150</v>
      </c>
      <c r="B4366" s="8" t="s">
        <v>3151</v>
      </c>
      <c r="C4366" t="s">
        <v>6194</v>
      </c>
      <c r="D4366" s="8" t="s">
        <v>6195</v>
      </c>
    </row>
    <row r="4367" spans="1:4" x14ac:dyDescent="0.35">
      <c r="A4367" t="s">
        <v>3150</v>
      </c>
      <c r="B4367" s="8" t="s">
        <v>3151</v>
      </c>
      <c r="C4367" t="s">
        <v>7491</v>
      </c>
      <c r="D4367" s="8" t="s">
        <v>7492</v>
      </c>
    </row>
    <row r="4368" spans="1:4" x14ac:dyDescent="0.35">
      <c r="A4368" t="s">
        <v>3152</v>
      </c>
      <c r="B4368" s="8" t="s">
        <v>3153</v>
      </c>
      <c r="C4368" t="s">
        <v>6194</v>
      </c>
      <c r="D4368" s="8" t="s">
        <v>6195</v>
      </c>
    </row>
    <row r="4369" spans="1:4" x14ac:dyDescent="0.35">
      <c r="A4369" t="s">
        <v>3152</v>
      </c>
      <c r="B4369" s="8" t="s">
        <v>3153</v>
      </c>
      <c r="C4369" t="s">
        <v>7489</v>
      </c>
      <c r="D4369" s="8" t="s">
        <v>7490</v>
      </c>
    </row>
    <row r="4370" spans="1:4" x14ac:dyDescent="0.35">
      <c r="A4370" t="s">
        <v>3152</v>
      </c>
      <c r="B4370" s="8" t="s">
        <v>3153</v>
      </c>
      <c r="C4370" t="s">
        <v>7526</v>
      </c>
      <c r="D4370" s="8" t="s">
        <v>7527</v>
      </c>
    </row>
    <row r="4371" spans="1:4" x14ac:dyDescent="0.35">
      <c r="A4371" t="s">
        <v>3154</v>
      </c>
      <c r="B4371" s="8" t="s">
        <v>3155</v>
      </c>
      <c r="C4371" t="s">
        <v>6194</v>
      </c>
      <c r="D4371" s="8" t="s">
        <v>6195</v>
      </c>
    </row>
    <row r="4372" spans="1:4" x14ac:dyDescent="0.35">
      <c r="A4372" t="s">
        <v>3154</v>
      </c>
      <c r="B4372" s="8" t="s">
        <v>3155</v>
      </c>
      <c r="C4372" t="s">
        <v>6847</v>
      </c>
      <c r="D4372" s="8" t="s">
        <v>6848</v>
      </c>
    </row>
    <row r="4373" spans="1:4" x14ac:dyDescent="0.35">
      <c r="A4373" t="s">
        <v>3154</v>
      </c>
      <c r="B4373" s="8" t="s">
        <v>3155</v>
      </c>
      <c r="C4373" t="s">
        <v>7479</v>
      </c>
      <c r="D4373" s="8" t="s">
        <v>7480</v>
      </c>
    </row>
    <row r="4374" spans="1:4" x14ac:dyDescent="0.35">
      <c r="A4374" t="s">
        <v>3156</v>
      </c>
      <c r="B4374" s="8" t="s">
        <v>3157</v>
      </c>
      <c r="C4374" t="s">
        <v>6163</v>
      </c>
      <c r="D4374" s="8" t="s">
        <v>6164</v>
      </c>
    </row>
    <row r="4375" spans="1:4" x14ac:dyDescent="0.35">
      <c r="A4375" t="s">
        <v>3158</v>
      </c>
      <c r="B4375" s="8" t="s">
        <v>3159</v>
      </c>
      <c r="C4375" t="s">
        <v>6163</v>
      </c>
      <c r="D4375" s="8" t="s">
        <v>6164</v>
      </c>
    </row>
    <row r="4376" spans="1:4" x14ac:dyDescent="0.35">
      <c r="A4376" t="s">
        <v>3160</v>
      </c>
      <c r="B4376" s="8" t="s">
        <v>3161</v>
      </c>
      <c r="C4376" t="s">
        <v>6163</v>
      </c>
      <c r="D4376" s="8" t="s">
        <v>6164</v>
      </c>
    </row>
    <row r="4377" spans="1:4" x14ac:dyDescent="0.35">
      <c r="A4377" t="s">
        <v>3164</v>
      </c>
      <c r="B4377" s="8" t="s">
        <v>3165</v>
      </c>
      <c r="C4377" t="s">
        <v>6163</v>
      </c>
      <c r="D4377" s="8" t="s">
        <v>6164</v>
      </c>
    </row>
    <row r="4378" spans="1:4" x14ac:dyDescent="0.35">
      <c r="A4378" t="s">
        <v>3166</v>
      </c>
      <c r="B4378" s="8" t="s">
        <v>3167</v>
      </c>
      <c r="C4378" t="s">
        <v>6163</v>
      </c>
      <c r="D4378" s="8" t="s">
        <v>6164</v>
      </c>
    </row>
    <row r="4379" spans="1:4" x14ac:dyDescent="0.35">
      <c r="A4379" t="s">
        <v>3168</v>
      </c>
      <c r="B4379" s="8" t="s">
        <v>3169</v>
      </c>
      <c r="C4379" t="s">
        <v>6163</v>
      </c>
      <c r="D4379" s="8" t="s">
        <v>6164</v>
      </c>
    </row>
    <row r="4380" spans="1:4" x14ac:dyDescent="0.35">
      <c r="A4380" t="s">
        <v>3170</v>
      </c>
      <c r="B4380" s="8" t="s">
        <v>3171</v>
      </c>
      <c r="C4380" t="s">
        <v>6163</v>
      </c>
      <c r="D4380" s="8" t="s">
        <v>6164</v>
      </c>
    </row>
    <row r="4381" spans="1:4" x14ac:dyDescent="0.35">
      <c r="A4381" t="s">
        <v>3172</v>
      </c>
      <c r="B4381" s="8" t="s">
        <v>3173</v>
      </c>
      <c r="C4381" t="s">
        <v>6163</v>
      </c>
      <c r="D4381" s="8" t="s">
        <v>6164</v>
      </c>
    </row>
    <row r="4382" spans="1:4" x14ac:dyDescent="0.35">
      <c r="A4382" t="s">
        <v>7528</v>
      </c>
      <c r="B4382" s="8" t="s">
        <v>3174</v>
      </c>
      <c r="C4382" t="s">
        <v>6163</v>
      </c>
      <c r="D4382" s="8" t="s">
        <v>6164</v>
      </c>
    </row>
    <row r="4383" spans="1:4" x14ac:dyDescent="0.35">
      <c r="A4383" t="s">
        <v>7529</v>
      </c>
      <c r="B4383" s="8" t="s">
        <v>3175</v>
      </c>
      <c r="C4383" t="s">
        <v>6163</v>
      </c>
      <c r="D4383" s="8" t="s">
        <v>6164</v>
      </c>
    </row>
    <row r="4384" spans="1:4" x14ac:dyDescent="0.35">
      <c r="A4384" t="s">
        <v>3176</v>
      </c>
      <c r="B4384" s="8" t="s">
        <v>3177</v>
      </c>
      <c r="C4384" t="s">
        <v>6163</v>
      </c>
      <c r="D4384" s="8" t="s">
        <v>6164</v>
      </c>
    </row>
    <row r="4385" spans="1:4" x14ac:dyDescent="0.35">
      <c r="A4385" t="s">
        <v>3178</v>
      </c>
      <c r="B4385" s="8" t="s">
        <v>3179</v>
      </c>
      <c r="C4385" t="s">
        <v>7530</v>
      </c>
      <c r="D4385" s="8" t="s">
        <v>7531</v>
      </c>
    </row>
    <row r="4386" spans="1:4" x14ac:dyDescent="0.35">
      <c r="A4386" t="s">
        <v>3178</v>
      </c>
      <c r="B4386" s="8" t="s">
        <v>3179</v>
      </c>
      <c r="C4386" t="s">
        <v>7532</v>
      </c>
      <c r="D4386" s="8" t="s">
        <v>7533</v>
      </c>
    </row>
    <row r="4387" spans="1:4" x14ac:dyDescent="0.35">
      <c r="A4387" t="s">
        <v>3178</v>
      </c>
      <c r="B4387" s="8" t="s">
        <v>3179</v>
      </c>
      <c r="C4387" t="s">
        <v>7534</v>
      </c>
      <c r="D4387" s="8" t="s">
        <v>7535</v>
      </c>
    </row>
    <row r="4388" spans="1:4" x14ac:dyDescent="0.35">
      <c r="A4388" t="s">
        <v>3178</v>
      </c>
      <c r="B4388" s="8" t="s">
        <v>3179</v>
      </c>
      <c r="C4388" t="s">
        <v>7536</v>
      </c>
      <c r="D4388" s="8" t="s">
        <v>7537</v>
      </c>
    </row>
    <row r="4389" spans="1:4" x14ac:dyDescent="0.35">
      <c r="A4389" t="s">
        <v>3178</v>
      </c>
      <c r="B4389" s="8" t="s">
        <v>3179</v>
      </c>
      <c r="C4389" t="s">
        <v>7538</v>
      </c>
      <c r="D4389" s="8" t="s">
        <v>7539</v>
      </c>
    </row>
    <row r="4390" spans="1:4" x14ac:dyDescent="0.35">
      <c r="A4390" t="s">
        <v>3178</v>
      </c>
      <c r="B4390" s="8" t="s">
        <v>3179</v>
      </c>
      <c r="C4390" t="s">
        <v>7540</v>
      </c>
      <c r="D4390" s="8" t="s">
        <v>7541</v>
      </c>
    </row>
    <row r="4391" spans="1:4" x14ac:dyDescent="0.35">
      <c r="A4391" t="s">
        <v>3178</v>
      </c>
      <c r="B4391" s="8" t="s">
        <v>3179</v>
      </c>
      <c r="C4391" t="s">
        <v>7542</v>
      </c>
      <c r="D4391" s="8" t="s">
        <v>7543</v>
      </c>
    </row>
    <row r="4392" spans="1:4" x14ac:dyDescent="0.35">
      <c r="A4392" t="s">
        <v>3178</v>
      </c>
      <c r="B4392" s="8" t="s">
        <v>3179</v>
      </c>
      <c r="C4392" t="s">
        <v>7544</v>
      </c>
      <c r="D4392" s="8" t="s">
        <v>7545</v>
      </c>
    </row>
    <row r="4393" spans="1:4" x14ac:dyDescent="0.35">
      <c r="A4393" t="s">
        <v>3178</v>
      </c>
      <c r="B4393" s="8" t="s">
        <v>3179</v>
      </c>
      <c r="C4393" t="s">
        <v>7546</v>
      </c>
      <c r="D4393" s="8" t="s">
        <v>7547</v>
      </c>
    </row>
    <row r="4394" spans="1:4" x14ac:dyDescent="0.35">
      <c r="A4394" t="s">
        <v>3178</v>
      </c>
      <c r="B4394" s="8" t="s">
        <v>3179</v>
      </c>
      <c r="C4394" t="s">
        <v>7548</v>
      </c>
      <c r="D4394" s="8" t="s">
        <v>7549</v>
      </c>
    </row>
    <row r="4395" spans="1:4" x14ac:dyDescent="0.35">
      <c r="A4395" t="s">
        <v>3178</v>
      </c>
      <c r="B4395" s="8" t="s">
        <v>3179</v>
      </c>
      <c r="C4395" t="s">
        <v>7550</v>
      </c>
      <c r="D4395" s="8" t="s">
        <v>7551</v>
      </c>
    </row>
    <row r="4396" spans="1:4" x14ac:dyDescent="0.35">
      <c r="A4396" t="s">
        <v>3178</v>
      </c>
      <c r="B4396" s="8" t="s">
        <v>3179</v>
      </c>
      <c r="C4396" t="s">
        <v>7552</v>
      </c>
      <c r="D4396" s="8" t="s">
        <v>7553</v>
      </c>
    </row>
    <row r="4397" spans="1:4" x14ac:dyDescent="0.35">
      <c r="A4397" t="s">
        <v>3178</v>
      </c>
      <c r="B4397" s="8" t="s">
        <v>3179</v>
      </c>
      <c r="C4397" t="s">
        <v>7554</v>
      </c>
      <c r="D4397" s="8" t="s">
        <v>7555</v>
      </c>
    </row>
    <row r="4398" spans="1:4" x14ac:dyDescent="0.35">
      <c r="A4398" t="s">
        <v>3178</v>
      </c>
      <c r="B4398" s="8" t="s">
        <v>3179</v>
      </c>
      <c r="C4398" t="s">
        <v>7556</v>
      </c>
      <c r="D4398" s="8" t="s">
        <v>7557</v>
      </c>
    </row>
    <row r="4399" spans="1:4" x14ac:dyDescent="0.35">
      <c r="A4399" t="s">
        <v>3178</v>
      </c>
      <c r="B4399" s="8" t="s">
        <v>3179</v>
      </c>
      <c r="C4399" t="s">
        <v>7558</v>
      </c>
      <c r="D4399" s="8" t="s">
        <v>7559</v>
      </c>
    </row>
    <row r="4400" spans="1:4" x14ac:dyDescent="0.35">
      <c r="A4400" t="s">
        <v>3178</v>
      </c>
      <c r="B4400" s="8" t="s">
        <v>3179</v>
      </c>
      <c r="C4400" t="s">
        <v>7560</v>
      </c>
      <c r="D4400" s="8" t="s">
        <v>7561</v>
      </c>
    </row>
    <row r="4401" spans="1:4" x14ac:dyDescent="0.35">
      <c r="A4401" t="s">
        <v>3178</v>
      </c>
      <c r="B4401" s="8" t="s">
        <v>3179</v>
      </c>
      <c r="C4401" t="s">
        <v>7562</v>
      </c>
      <c r="D4401" s="8" t="s">
        <v>7563</v>
      </c>
    </row>
    <row r="4402" spans="1:4" x14ac:dyDescent="0.35">
      <c r="A4402" t="s">
        <v>7564</v>
      </c>
      <c r="B4402" s="8" t="s">
        <v>3226</v>
      </c>
      <c r="C4402" t="s">
        <v>7530</v>
      </c>
      <c r="D4402" s="8" t="s">
        <v>7531</v>
      </c>
    </row>
    <row r="4403" spans="1:4" x14ac:dyDescent="0.35">
      <c r="A4403" t="s">
        <v>7564</v>
      </c>
      <c r="B4403" s="8" t="s">
        <v>3226</v>
      </c>
      <c r="C4403" t="s">
        <v>7532</v>
      </c>
      <c r="D4403" s="8" t="s">
        <v>7533</v>
      </c>
    </row>
    <row r="4404" spans="1:4" x14ac:dyDescent="0.35">
      <c r="A4404" t="s">
        <v>7564</v>
      </c>
      <c r="B4404" s="8" t="s">
        <v>3226</v>
      </c>
      <c r="C4404" t="s">
        <v>7534</v>
      </c>
      <c r="D4404" s="8" t="s">
        <v>7535</v>
      </c>
    </row>
    <row r="4405" spans="1:4" x14ac:dyDescent="0.35">
      <c r="A4405" t="s">
        <v>7564</v>
      </c>
      <c r="B4405" s="8" t="s">
        <v>3226</v>
      </c>
      <c r="C4405" t="s">
        <v>7536</v>
      </c>
      <c r="D4405" s="8" t="s">
        <v>7537</v>
      </c>
    </row>
    <row r="4406" spans="1:4" x14ac:dyDescent="0.35">
      <c r="A4406" t="s">
        <v>7564</v>
      </c>
      <c r="B4406" s="8" t="s">
        <v>3226</v>
      </c>
      <c r="C4406" t="s">
        <v>7538</v>
      </c>
      <c r="D4406" s="8" t="s">
        <v>7539</v>
      </c>
    </row>
    <row r="4407" spans="1:4" x14ac:dyDescent="0.35">
      <c r="A4407" t="s">
        <v>7564</v>
      </c>
      <c r="B4407" s="8" t="s">
        <v>3226</v>
      </c>
      <c r="C4407" t="s">
        <v>7540</v>
      </c>
      <c r="D4407" s="8" t="s">
        <v>7541</v>
      </c>
    </row>
    <row r="4408" spans="1:4" x14ac:dyDescent="0.35">
      <c r="A4408" t="s">
        <v>7564</v>
      </c>
      <c r="B4408" s="8" t="s">
        <v>3226</v>
      </c>
      <c r="C4408" t="s">
        <v>7542</v>
      </c>
      <c r="D4408" s="8" t="s">
        <v>7543</v>
      </c>
    </row>
    <row r="4409" spans="1:4" x14ac:dyDescent="0.35">
      <c r="A4409" t="s">
        <v>7564</v>
      </c>
      <c r="B4409" s="8" t="s">
        <v>3226</v>
      </c>
      <c r="C4409" t="s">
        <v>7544</v>
      </c>
      <c r="D4409" s="8" t="s">
        <v>7545</v>
      </c>
    </row>
    <row r="4410" spans="1:4" x14ac:dyDescent="0.35">
      <c r="A4410" t="s">
        <v>7564</v>
      </c>
      <c r="B4410" s="8" t="s">
        <v>3226</v>
      </c>
      <c r="C4410" t="s">
        <v>7546</v>
      </c>
      <c r="D4410" s="8" t="s">
        <v>7547</v>
      </c>
    </row>
    <row r="4411" spans="1:4" x14ac:dyDescent="0.35">
      <c r="A4411" t="s">
        <v>7564</v>
      </c>
      <c r="B4411" s="8" t="s">
        <v>3226</v>
      </c>
      <c r="C4411" t="s">
        <v>7548</v>
      </c>
      <c r="D4411" s="8" t="s">
        <v>7549</v>
      </c>
    </row>
    <row r="4412" spans="1:4" x14ac:dyDescent="0.35">
      <c r="A4412" t="s">
        <v>7564</v>
      </c>
      <c r="B4412" s="8" t="s">
        <v>3226</v>
      </c>
      <c r="C4412" t="s">
        <v>7550</v>
      </c>
      <c r="D4412" s="8" t="s">
        <v>7551</v>
      </c>
    </row>
    <row r="4413" spans="1:4" x14ac:dyDescent="0.35">
      <c r="A4413" t="s">
        <v>7564</v>
      </c>
      <c r="B4413" s="8" t="s">
        <v>3226</v>
      </c>
      <c r="C4413" t="s">
        <v>7552</v>
      </c>
      <c r="D4413" s="8" t="s">
        <v>7553</v>
      </c>
    </row>
    <row r="4414" spans="1:4" x14ac:dyDescent="0.35">
      <c r="A4414" t="s">
        <v>7564</v>
      </c>
      <c r="B4414" s="8" t="s">
        <v>3226</v>
      </c>
      <c r="C4414" t="s">
        <v>7554</v>
      </c>
      <c r="D4414" s="8" t="s">
        <v>7555</v>
      </c>
    </row>
    <row r="4415" spans="1:4" x14ac:dyDescent="0.35">
      <c r="A4415" t="s">
        <v>7564</v>
      </c>
      <c r="B4415" s="8" t="s">
        <v>3226</v>
      </c>
      <c r="C4415" t="s">
        <v>7556</v>
      </c>
      <c r="D4415" s="8" t="s">
        <v>7557</v>
      </c>
    </row>
    <row r="4416" spans="1:4" x14ac:dyDescent="0.35">
      <c r="A4416" t="s">
        <v>7564</v>
      </c>
      <c r="B4416" s="8" t="s">
        <v>3226</v>
      </c>
      <c r="C4416" t="s">
        <v>7558</v>
      </c>
      <c r="D4416" s="8" t="s">
        <v>7559</v>
      </c>
    </row>
    <row r="4417" spans="1:4" x14ac:dyDescent="0.35">
      <c r="A4417" t="s">
        <v>7564</v>
      </c>
      <c r="B4417" s="8" t="s">
        <v>3226</v>
      </c>
      <c r="C4417" t="s">
        <v>7560</v>
      </c>
      <c r="D4417" s="8" t="s">
        <v>7561</v>
      </c>
    </row>
    <row r="4418" spans="1:4" x14ac:dyDescent="0.35">
      <c r="A4418" t="s">
        <v>7564</v>
      </c>
      <c r="B4418" s="8" t="s">
        <v>3226</v>
      </c>
      <c r="C4418" t="s">
        <v>7562</v>
      </c>
      <c r="D4418" s="8" t="s">
        <v>7563</v>
      </c>
    </row>
    <row r="4419" spans="1:4" x14ac:dyDescent="0.35">
      <c r="A4419" t="s">
        <v>7565</v>
      </c>
      <c r="B4419" s="8" t="s">
        <v>3252</v>
      </c>
      <c r="C4419" t="s">
        <v>7566</v>
      </c>
      <c r="D4419" s="8" t="s">
        <v>7567</v>
      </c>
    </row>
    <row r="4420" spans="1:4" x14ac:dyDescent="0.35">
      <c r="A4420" t="s">
        <v>7568</v>
      </c>
      <c r="B4420" s="8" t="s">
        <v>3180</v>
      </c>
      <c r="C4420" t="s">
        <v>6163</v>
      </c>
      <c r="D4420" s="8" t="s">
        <v>6164</v>
      </c>
    </row>
    <row r="4421" spans="1:4" x14ac:dyDescent="0.35">
      <c r="A4421" t="s">
        <v>3181</v>
      </c>
      <c r="B4421" s="8" t="s">
        <v>3183</v>
      </c>
      <c r="C4421" t="s">
        <v>6644</v>
      </c>
      <c r="D4421" s="8" t="s">
        <v>6645</v>
      </c>
    </row>
    <row r="4422" spans="1:4" x14ac:dyDescent="0.35">
      <c r="A4422" t="s">
        <v>3181</v>
      </c>
      <c r="B4422" s="8" t="s">
        <v>3183</v>
      </c>
      <c r="C4422" t="s">
        <v>6845</v>
      </c>
      <c r="D4422" s="8" t="s">
        <v>6846</v>
      </c>
    </row>
    <row r="4423" spans="1:4" x14ac:dyDescent="0.35">
      <c r="A4423" t="s">
        <v>3181</v>
      </c>
      <c r="B4423" s="8" t="s">
        <v>3183</v>
      </c>
      <c r="C4423" t="s">
        <v>6841</v>
      </c>
      <c r="D4423" s="8" t="s">
        <v>6842</v>
      </c>
    </row>
    <row r="4424" spans="1:4" x14ac:dyDescent="0.35">
      <c r="A4424" t="s">
        <v>7569</v>
      </c>
      <c r="B4424" s="8" t="s">
        <v>3184</v>
      </c>
      <c r="C4424" t="s">
        <v>6841</v>
      </c>
      <c r="D4424" s="8" t="s">
        <v>6842</v>
      </c>
    </row>
    <row r="4425" spans="1:4" x14ac:dyDescent="0.35">
      <c r="A4425" t="s">
        <v>7570</v>
      </c>
      <c r="B4425" s="8" t="s">
        <v>3185</v>
      </c>
      <c r="C4425" t="s">
        <v>7554</v>
      </c>
      <c r="D4425" s="8" t="s">
        <v>7555</v>
      </c>
    </row>
    <row r="4426" spans="1:4" x14ac:dyDescent="0.35">
      <c r="A4426" t="s">
        <v>7571</v>
      </c>
      <c r="B4426" s="8" t="s">
        <v>3186</v>
      </c>
      <c r="C4426" t="s">
        <v>7444</v>
      </c>
      <c r="D4426" s="8" t="s">
        <v>7445</v>
      </c>
    </row>
    <row r="4427" spans="1:4" x14ac:dyDescent="0.35">
      <c r="A4427" t="s">
        <v>7572</v>
      </c>
      <c r="B4427" s="8" t="s">
        <v>3187</v>
      </c>
      <c r="C4427" t="s">
        <v>6841</v>
      </c>
      <c r="D4427" s="8" t="s">
        <v>6842</v>
      </c>
    </row>
    <row r="4428" spans="1:4" x14ac:dyDescent="0.35">
      <c r="A4428" t="s">
        <v>7572</v>
      </c>
      <c r="B4428" s="8" t="s">
        <v>3187</v>
      </c>
      <c r="C4428" t="s">
        <v>6194</v>
      </c>
      <c r="D4428" s="8" t="s">
        <v>6195</v>
      </c>
    </row>
    <row r="4429" spans="1:4" x14ac:dyDescent="0.35">
      <c r="A4429" t="s">
        <v>7573</v>
      </c>
      <c r="B4429" s="8" t="s">
        <v>3188</v>
      </c>
      <c r="C4429" t="s">
        <v>6841</v>
      </c>
      <c r="D4429" s="8" t="s">
        <v>6842</v>
      </c>
    </row>
    <row r="4430" spans="1:4" x14ac:dyDescent="0.35">
      <c r="A4430" t="s">
        <v>3189</v>
      </c>
      <c r="B4430" s="8" t="s">
        <v>3190</v>
      </c>
      <c r="C4430" t="s">
        <v>7574</v>
      </c>
      <c r="D4430" s="8" t="s">
        <v>7575</v>
      </c>
    </row>
    <row r="4431" spans="1:4" x14ac:dyDescent="0.35">
      <c r="A4431" t="s">
        <v>3189</v>
      </c>
      <c r="B4431" s="8" t="s">
        <v>3190</v>
      </c>
      <c r="C4431" t="s">
        <v>7039</v>
      </c>
      <c r="D4431" s="8" t="s">
        <v>7040</v>
      </c>
    </row>
    <row r="4432" spans="1:4" x14ac:dyDescent="0.35">
      <c r="A4432" t="s">
        <v>3189</v>
      </c>
      <c r="B4432" s="8" t="s">
        <v>3190</v>
      </c>
      <c r="C4432" t="s">
        <v>6194</v>
      </c>
      <c r="D4432" s="8" t="s">
        <v>6195</v>
      </c>
    </row>
    <row r="4433" spans="1:4" x14ac:dyDescent="0.35">
      <c r="A4433" t="s">
        <v>3191</v>
      </c>
      <c r="B4433" s="8" t="s">
        <v>3192</v>
      </c>
      <c r="C4433" t="s">
        <v>7576</v>
      </c>
      <c r="D4433" s="8" t="s">
        <v>7577</v>
      </c>
    </row>
    <row r="4434" spans="1:4" x14ac:dyDescent="0.35">
      <c r="A4434" t="s">
        <v>3191</v>
      </c>
      <c r="B4434" s="8" t="s">
        <v>3192</v>
      </c>
      <c r="C4434" t="s">
        <v>7578</v>
      </c>
      <c r="D4434" s="8" t="s">
        <v>7579</v>
      </c>
    </row>
    <row r="4435" spans="1:4" x14ac:dyDescent="0.35">
      <c r="A4435" t="s">
        <v>3193</v>
      </c>
      <c r="B4435" s="8" t="s">
        <v>3194</v>
      </c>
      <c r="C4435" t="s">
        <v>7574</v>
      </c>
      <c r="D4435" s="8" t="s">
        <v>7575</v>
      </c>
    </row>
    <row r="4436" spans="1:4" x14ac:dyDescent="0.35">
      <c r="A4436" t="s">
        <v>3193</v>
      </c>
      <c r="B4436" s="8" t="s">
        <v>3194</v>
      </c>
      <c r="C4436" t="s">
        <v>7039</v>
      </c>
      <c r="D4436" s="8" t="s">
        <v>7040</v>
      </c>
    </row>
    <row r="4437" spans="1:4" x14ac:dyDescent="0.35">
      <c r="A4437" t="s">
        <v>3193</v>
      </c>
      <c r="B4437" s="8" t="s">
        <v>3194</v>
      </c>
      <c r="C4437" t="s">
        <v>6958</v>
      </c>
      <c r="D4437" s="8" t="s">
        <v>6959</v>
      </c>
    </row>
    <row r="4438" spans="1:4" x14ac:dyDescent="0.35">
      <c r="A4438" t="s">
        <v>3193</v>
      </c>
      <c r="B4438" s="8" t="s">
        <v>3194</v>
      </c>
      <c r="C4438" t="s">
        <v>7095</v>
      </c>
      <c r="D4438" s="8" t="s">
        <v>7096</v>
      </c>
    </row>
    <row r="4439" spans="1:4" x14ac:dyDescent="0.35">
      <c r="A4439" t="s">
        <v>3193</v>
      </c>
      <c r="B4439" s="8" t="s">
        <v>3194</v>
      </c>
      <c r="C4439" t="s">
        <v>6892</v>
      </c>
      <c r="D4439" s="8" t="s">
        <v>6893</v>
      </c>
    </row>
    <row r="4440" spans="1:4" x14ac:dyDescent="0.35">
      <c r="A4440" t="s">
        <v>3195</v>
      </c>
      <c r="B4440" s="8" t="s">
        <v>3196</v>
      </c>
      <c r="C4440" t="s">
        <v>6358</v>
      </c>
      <c r="D4440" s="8" t="s">
        <v>6359</v>
      </c>
    </row>
    <row r="4441" spans="1:4" x14ac:dyDescent="0.35">
      <c r="A4441" t="s">
        <v>3195</v>
      </c>
      <c r="B4441" s="8" t="s">
        <v>3196</v>
      </c>
      <c r="C4441" t="s">
        <v>6360</v>
      </c>
      <c r="D4441" s="8" t="s">
        <v>6361</v>
      </c>
    </row>
    <row r="4442" spans="1:4" x14ac:dyDescent="0.35">
      <c r="A4442" t="s">
        <v>3197</v>
      </c>
      <c r="B4442" s="8" t="s">
        <v>3198</v>
      </c>
      <c r="C4442" t="s">
        <v>7093</v>
      </c>
      <c r="D4442" s="8" t="s">
        <v>7094</v>
      </c>
    </row>
    <row r="4443" spans="1:4" x14ac:dyDescent="0.35">
      <c r="A4443" t="s">
        <v>3197</v>
      </c>
      <c r="B4443" s="8" t="s">
        <v>3198</v>
      </c>
      <c r="C4443" t="s">
        <v>6600</v>
      </c>
      <c r="D4443" s="8" t="s">
        <v>6601</v>
      </c>
    </row>
    <row r="4444" spans="1:4" x14ac:dyDescent="0.35">
      <c r="A4444" t="s">
        <v>3199</v>
      </c>
      <c r="B4444" s="8" t="s">
        <v>3200</v>
      </c>
      <c r="C4444" t="s">
        <v>7093</v>
      </c>
      <c r="D4444" s="8" t="s">
        <v>7094</v>
      </c>
    </row>
    <row r="4445" spans="1:4" x14ac:dyDescent="0.35">
      <c r="A4445" t="s">
        <v>3199</v>
      </c>
      <c r="B4445" s="8" t="s">
        <v>3200</v>
      </c>
      <c r="C4445" t="s">
        <v>7039</v>
      </c>
      <c r="D4445" s="8" t="s">
        <v>7040</v>
      </c>
    </row>
    <row r="4446" spans="1:4" x14ac:dyDescent="0.35">
      <c r="A4446" t="s">
        <v>3199</v>
      </c>
      <c r="B4446" s="8" t="s">
        <v>3200</v>
      </c>
      <c r="C4446" t="s">
        <v>6956</v>
      </c>
      <c r="D4446" s="8" t="s">
        <v>6957</v>
      </c>
    </row>
    <row r="4447" spans="1:4" x14ac:dyDescent="0.35">
      <c r="A4447" t="s">
        <v>3199</v>
      </c>
      <c r="B4447" s="8" t="s">
        <v>3200</v>
      </c>
      <c r="C4447" t="s">
        <v>7007</v>
      </c>
      <c r="D4447" s="8" t="s">
        <v>7008</v>
      </c>
    </row>
    <row r="4448" spans="1:4" x14ac:dyDescent="0.35">
      <c r="A4448" t="s">
        <v>3199</v>
      </c>
      <c r="B4448" s="8" t="s">
        <v>3200</v>
      </c>
      <c r="C4448" t="s">
        <v>6914</v>
      </c>
      <c r="D4448" s="8" t="s">
        <v>6915</v>
      </c>
    </row>
    <row r="4449" spans="1:4" x14ac:dyDescent="0.35">
      <c r="A4449" t="s">
        <v>3201</v>
      </c>
      <c r="B4449" s="8" t="s">
        <v>3202</v>
      </c>
      <c r="C4449" t="s">
        <v>7034</v>
      </c>
      <c r="D4449" s="8" t="s">
        <v>7035</v>
      </c>
    </row>
    <row r="4450" spans="1:4" x14ac:dyDescent="0.35">
      <c r="A4450" t="s">
        <v>3203</v>
      </c>
      <c r="B4450" s="8" t="s">
        <v>3204</v>
      </c>
      <c r="C4450" t="s">
        <v>7039</v>
      </c>
      <c r="D4450" s="8" t="s">
        <v>7040</v>
      </c>
    </row>
    <row r="4451" spans="1:4" x14ac:dyDescent="0.35">
      <c r="A4451" t="s">
        <v>3205</v>
      </c>
      <c r="B4451" s="8" t="s">
        <v>3206</v>
      </c>
      <c r="C4451" t="s">
        <v>6850</v>
      </c>
      <c r="D4451" s="8" t="s">
        <v>6851</v>
      </c>
    </row>
    <row r="4452" spans="1:4" x14ac:dyDescent="0.35">
      <c r="A4452" t="s">
        <v>7580</v>
      </c>
      <c r="B4452" s="8" t="s">
        <v>3207</v>
      </c>
      <c r="C4452" t="s">
        <v>7093</v>
      </c>
      <c r="D4452" s="8" t="s">
        <v>7094</v>
      </c>
    </row>
    <row r="4453" spans="1:4" x14ac:dyDescent="0.35">
      <c r="A4453" t="s">
        <v>7580</v>
      </c>
      <c r="B4453" s="8" t="s">
        <v>3207</v>
      </c>
      <c r="C4453" t="s">
        <v>6956</v>
      </c>
      <c r="D4453" s="8" t="s">
        <v>6957</v>
      </c>
    </row>
    <row r="4454" spans="1:4" x14ac:dyDescent="0.35">
      <c r="A4454" t="s">
        <v>7580</v>
      </c>
      <c r="B4454" s="8" t="s">
        <v>3207</v>
      </c>
      <c r="C4454" t="s">
        <v>7036</v>
      </c>
      <c r="D4454" s="8" t="s">
        <v>7037</v>
      </c>
    </row>
    <row r="4455" spans="1:4" x14ac:dyDescent="0.35">
      <c r="A4455" t="s">
        <v>7581</v>
      </c>
      <c r="B4455" s="8" t="s">
        <v>3208</v>
      </c>
      <c r="C4455" t="s">
        <v>7093</v>
      </c>
      <c r="D4455" s="8" t="s">
        <v>7094</v>
      </c>
    </row>
    <row r="4456" spans="1:4" x14ac:dyDescent="0.35">
      <c r="A4456" t="s">
        <v>7581</v>
      </c>
      <c r="B4456" s="8" t="s">
        <v>3208</v>
      </c>
      <c r="C4456" t="s">
        <v>6958</v>
      </c>
      <c r="D4456" s="8" t="s">
        <v>6959</v>
      </c>
    </row>
    <row r="4457" spans="1:4" x14ac:dyDescent="0.35">
      <c r="A4457" t="s">
        <v>7582</v>
      </c>
      <c r="B4457" s="8" t="s">
        <v>3209</v>
      </c>
      <c r="C4457" t="s">
        <v>6958</v>
      </c>
      <c r="D4457" s="8" t="s">
        <v>6959</v>
      </c>
    </row>
    <row r="4458" spans="1:4" x14ac:dyDescent="0.35">
      <c r="A4458" t="s">
        <v>7582</v>
      </c>
      <c r="B4458" s="8" t="s">
        <v>3209</v>
      </c>
      <c r="C4458" t="s">
        <v>7097</v>
      </c>
      <c r="D4458" s="8" t="s">
        <v>7098</v>
      </c>
    </row>
    <row r="4459" spans="1:4" x14ac:dyDescent="0.35">
      <c r="A4459" t="s">
        <v>7583</v>
      </c>
      <c r="B4459" s="8" t="s">
        <v>3210</v>
      </c>
      <c r="C4459" t="s">
        <v>7039</v>
      </c>
      <c r="D4459" s="8" t="s">
        <v>7040</v>
      </c>
    </row>
    <row r="4460" spans="1:4" x14ac:dyDescent="0.35">
      <c r="A4460" t="s">
        <v>3211</v>
      </c>
      <c r="B4460" s="8" t="s">
        <v>3212</v>
      </c>
      <c r="C4460" t="s">
        <v>6163</v>
      </c>
      <c r="D4460" s="8" t="s">
        <v>6164</v>
      </c>
    </row>
    <row r="4461" spans="1:4" x14ac:dyDescent="0.35">
      <c r="A4461" t="s">
        <v>3213</v>
      </c>
      <c r="B4461" s="8" t="s">
        <v>3214</v>
      </c>
      <c r="C4461" t="s">
        <v>7584</v>
      </c>
      <c r="D4461" s="8" t="s">
        <v>7585</v>
      </c>
    </row>
    <row r="4462" spans="1:4" x14ac:dyDescent="0.35">
      <c r="A4462" t="s">
        <v>3215</v>
      </c>
      <c r="B4462" s="8" t="s">
        <v>3216</v>
      </c>
      <c r="C4462" t="s">
        <v>7586</v>
      </c>
      <c r="D4462" s="8" t="s">
        <v>7587</v>
      </c>
    </row>
    <row r="4463" spans="1:4" x14ac:dyDescent="0.35">
      <c r="A4463" t="s">
        <v>3217</v>
      </c>
      <c r="B4463" s="8" t="s">
        <v>3218</v>
      </c>
      <c r="C4463" t="s">
        <v>7588</v>
      </c>
      <c r="D4463" s="8" t="s">
        <v>7589</v>
      </c>
    </row>
    <row r="4464" spans="1:4" x14ac:dyDescent="0.35">
      <c r="A4464" t="s">
        <v>3219</v>
      </c>
      <c r="B4464" s="8" t="s">
        <v>3220</v>
      </c>
      <c r="C4464" t="s">
        <v>7588</v>
      </c>
      <c r="D4464" s="8" t="s">
        <v>7589</v>
      </c>
    </row>
    <row r="4465" spans="1:4" x14ac:dyDescent="0.35">
      <c r="A4465" t="s">
        <v>3221</v>
      </c>
      <c r="B4465" s="8" t="s">
        <v>3222</v>
      </c>
      <c r="C4465" t="s">
        <v>7588</v>
      </c>
      <c r="D4465" s="8" t="s">
        <v>7589</v>
      </c>
    </row>
    <row r="4466" spans="1:4" x14ac:dyDescent="0.35">
      <c r="A4466" t="s">
        <v>3223</v>
      </c>
      <c r="B4466" s="8" t="s">
        <v>3224</v>
      </c>
      <c r="C4466" t="s">
        <v>6163</v>
      </c>
      <c r="D4466" s="8" t="s">
        <v>6164</v>
      </c>
    </row>
    <row r="4467" spans="1:4" x14ac:dyDescent="0.35">
      <c r="A4467" t="s">
        <v>3227</v>
      </c>
      <c r="B4467" s="8" t="s">
        <v>3228</v>
      </c>
      <c r="C4467" t="s">
        <v>6211</v>
      </c>
      <c r="D4467" s="8" t="s">
        <v>6212</v>
      </c>
    </row>
    <row r="4468" spans="1:4" x14ac:dyDescent="0.35">
      <c r="A4468" t="s">
        <v>3227</v>
      </c>
      <c r="B4468" s="8" t="s">
        <v>3228</v>
      </c>
      <c r="C4468" t="s">
        <v>6194</v>
      </c>
      <c r="D4468" s="8" t="s">
        <v>6195</v>
      </c>
    </row>
    <row r="4469" spans="1:4" x14ac:dyDescent="0.35">
      <c r="A4469" t="s">
        <v>3227</v>
      </c>
      <c r="B4469" s="8" t="s">
        <v>3228</v>
      </c>
      <c r="C4469" t="s">
        <v>7590</v>
      </c>
      <c r="D4469" s="8" t="s">
        <v>7591</v>
      </c>
    </row>
    <row r="4470" spans="1:4" x14ac:dyDescent="0.35">
      <c r="A4470" t="s">
        <v>3229</v>
      </c>
      <c r="B4470" s="8" t="s">
        <v>3230</v>
      </c>
      <c r="C4470" t="s">
        <v>6211</v>
      </c>
      <c r="D4470" s="8" t="s">
        <v>6212</v>
      </c>
    </row>
    <row r="4471" spans="1:4" x14ac:dyDescent="0.35">
      <c r="A4471" t="s">
        <v>3229</v>
      </c>
      <c r="B4471" s="8" t="s">
        <v>3230</v>
      </c>
      <c r="C4471" t="s">
        <v>6194</v>
      </c>
      <c r="D4471" s="8" t="s">
        <v>6195</v>
      </c>
    </row>
    <row r="4472" spans="1:4" x14ac:dyDescent="0.35">
      <c r="A4472" t="s">
        <v>3231</v>
      </c>
      <c r="B4472" s="8" t="s">
        <v>3232</v>
      </c>
      <c r="C4472" t="s">
        <v>6843</v>
      </c>
      <c r="D4472" s="8" t="s">
        <v>6844</v>
      </c>
    </row>
    <row r="4473" spans="1:4" x14ac:dyDescent="0.35">
      <c r="A4473" t="s">
        <v>3231</v>
      </c>
      <c r="B4473" s="8" t="s">
        <v>3232</v>
      </c>
      <c r="C4473" t="s">
        <v>6841</v>
      </c>
      <c r="D4473" s="8" t="s">
        <v>6842</v>
      </c>
    </row>
    <row r="4474" spans="1:4" x14ac:dyDescent="0.35">
      <c r="A4474" t="s">
        <v>3231</v>
      </c>
      <c r="B4474" s="8" t="s">
        <v>3232</v>
      </c>
      <c r="C4474" t="s">
        <v>6194</v>
      </c>
      <c r="D4474" s="8" t="s">
        <v>6195</v>
      </c>
    </row>
    <row r="4475" spans="1:4" x14ac:dyDescent="0.35">
      <c r="A4475" t="s">
        <v>3233</v>
      </c>
      <c r="B4475" s="8" t="s">
        <v>3234</v>
      </c>
      <c r="C4475" t="s">
        <v>6841</v>
      </c>
      <c r="D4475" s="8" t="s">
        <v>6842</v>
      </c>
    </row>
    <row r="4476" spans="1:4" x14ac:dyDescent="0.35">
      <c r="A4476" t="s">
        <v>3233</v>
      </c>
      <c r="B4476" s="8" t="s">
        <v>3234</v>
      </c>
      <c r="C4476" t="s">
        <v>7018</v>
      </c>
      <c r="D4476" s="8" t="s">
        <v>7019</v>
      </c>
    </row>
    <row r="4477" spans="1:4" x14ac:dyDescent="0.35">
      <c r="A4477" t="s">
        <v>3233</v>
      </c>
      <c r="B4477" s="8" t="s">
        <v>3234</v>
      </c>
      <c r="C4477" t="s">
        <v>6592</v>
      </c>
      <c r="D4477" s="8" t="s">
        <v>6593</v>
      </c>
    </row>
    <row r="4478" spans="1:4" x14ac:dyDescent="0.35">
      <c r="A4478" t="s">
        <v>3233</v>
      </c>
      <c r="B4478" s="8" t="s">
        <v>3234</v>
      </c>
      <c r="C4478" t="s">
        <v>6194</v>
      </c>
      <c r="D4478" s="8" t="s">
        <v>6195</v>
      </c>
    </row>
    <row r="4479" spans="1:4" x14ac:dyDescent="0.35">
      <c r="A4479" t="s">
        <v>3235</v>
      </c>
      <c r="B4479" s="8" t="s">
        <v>3236</v>
      </c>
      <c r="C4479" t="s">
        <v>6841</v>
      </c>
      <c r="D4479" s="8" t="s">
        <v>6842</v>
      </c>
    </row>
    <row r="4480" spans="1:4" x14ac:dyDescent="0.35">
      <c r="A4480" t="s">
        <v>3235</v>
      </c>
      <c r="B4480" s="8" t="s">
        <v>3236</v>
      </c>
      <c r="C4480" t="s">
        <v>6194</v>
      </c>
      <c r="D4480" s="8" t="s">
        <v>6195</v>
      </c>
    </row>
    <row r="4481" spans="1:4" x14ac:dyDescent="0.35">
      <c r="A4481" t="s">
        <v>3237</v>
      </c>
      <c r="B4481" s="8" t="s">
        <v>3238</v>
      </c>
      <c r="C4481" t="s">
        <v>6658</v>
      </c>
      <c r="D4481" s="8" t="s">
        <v>6659</v>
      </c>
    </row>
    <row r="4482" spans="1:4" x14ac:dyDescent="0.35">
      <c r="A4482" t="s">
        <v>3237</v>
      </c>
      <c r="B4482" s="8" t="s">
        <v>3238</v>
      </c>
      <c r="C4482" t="s">
        <v>6644</v>
      </c>
      <c r="D4482" s="8" t="s">
        <v>6645</v>
      </c>
    </row>
    <row r="4483" spans="1:4" x14ac:dyDescent="0.35">
      <c r="A4483" t="s">
        <v>3237</v>
      </c>
      <c r="B4483" s="8" t="s">
        <v>3238</v>
      </c>
      <c r="C4483" t="s">
        <v>6194</v>
      </c>
      <c r="D4483" s="8" t="s">
        <v>6195</v>
      </c>
    </row>
    <row r="4484" spans="1:4" x14ac:dyDescent="0.35">
      <c r="A4484" t="s">
        <v>3239</v>
      </c>
      <c r="B4484" s="8" t="s">
        <v>3240</v>
      </c>
      <c r="C4484" t="s">
        <v>6211</v>
      </c>
      <c r="D4484" s="8" t="s">
        <v>6212</v>
      </c>
    </row>
    <row r="4485" spans="1:4" x14ac:dyDescent="0.35">
      <c r="A4485" t="s">
        <v>3239</v>
      </c>
      <c r="B4485" s="8" t="s">
        <v>3240</v>
      </c>
      <c r="C4485" t="s">
        <v>6121</v>
      </c>
      <c r="D4485" s="8" t="s">
        <v>6122</v>
      </c>
    </row>
    <row r="4486" spans="1:4" x14ac:dyDescent="0.35">
      <c r="A4486" t="s">
        <v>3239</v>
      </c>
      <c r="B4486" s="8" t="s">
        <v>3240</v>
      </c>
      <c r="C4486" t="s">
        <v>6123</v>
      </c>
      <c r="D4486" s="8" t="s">
        <v>6124</v>
      </c>
    </row>
    <row r="4487" spans="1:4" x14ac:dyDescent="0.35">
      <c r="A4487" t="s">
        <v>3239</v>
      </c>
      <c r="B4487" s="8" t="s">
        <v>3240</v>
      </c>
      <c r="C4487" t="s">
        <v>6194</v>
      </c>
      <c r="D4487" s="8" t="s">
        <v>6195</v>
      </c>
    </row>
    <row r="4488" spans="1:4" x14ac:dyDescent="0.35">
      <c r="A4488" t="s">
        <v>3241</v>
      </c>
      <c r="B4488" s="8" t="s">
        <v>3242</v>
      </c>
      <c r="C4488" t="s">
        <v>6211</v>
      </c>
      <c r="D4488" s="8" t="s">
        <v>6212</v>
      </c>
    </row>
    <row r="4489" spans="1:4" x14ac:dyDescent="0.35">
      <c r="A4489" t="s">
        <v>3241</v>
      </c>
      <c r="B4489" s="8" t="s">
        <v>3242</v>
      </c>
      <c r="C4489" t="s">
        <v>6194</v>
      </c>
      <c r="D4489" s="8" t="s">
        <v>6195</v>
      </c>
    </row>
    <row r="4490" spans="1:4" x14ac:dyDescent="0.35">
      <c r="A4490" t="s">
        <v>3241</v>
      </c>
      <c r="B4490" s="8" t="s">
        <v>3242</v>
      </c>
      <c r="C4490" t="s">
        <v>7590</v>
      </c>
      <c r="D4490" s="8" t="s">
        <v>7591</v>
      </c>
    </row>
    <row r="4491" spans="1:4" x14ac:dyDescent="0.35">
      <c r="A4491" t="s">
        <v>3243</v>
      </c>
      <c r="B4491" s="8" t="s">
        <v>3244</v>
      </c>
      <c r="C4491" t="s">
        <v>6658</v>
      </c>
      <c r="D4491" s="8" t="s">
        <v>6659</v>
      </c>
    </row>
    <row r="4492" spans="1:4" x14ac:dyDescent="0.35">
      <c r="A4492" t="s">
        <v>3243</v>
      </c>
      <c r="B4492" s="8" t="s">
        <v>3244</v>
      </c>
      <c r="C4492" t="s">
        <v>6243</v>
      </c>
      <c r="D4492" s="8" t="s">
        <v>6244</v>
      </c>
    </row>
    <row r="4493" spans="1:4" x14ac:dyDescent="0.35">
      <c r="A4493" t="s">
        <v>3243</v>
      </c>
      <c r="B4493" s="8" t="s">
        <v>3244</v>
      </c>
      <c r="C4493" t="s">
        <v>6194</v>
      </c>
      <c r="D4493" s="8" t="s">
        <v>6195</v>
      </c>
    </row>
    <row r="4494" spans="1:4" x14ac:dyDescent="0.35">
      <c r="A4494" t="s">
        <v>3245</v>
      </c>
      <c r="B4494" s="8" t="s">
        <v>3246</v>
      </c>
      <c r="C4494" t="s">
        <v>6841</v>
      </c>
      <c r="D4494" s="8" t="s">
        <v>6842</v>
      </c>
    </row>
    <row r="4495" spans="1:4" x14ac:dyDescent="0.35">
      <c r="A4495" t="s">
        <v>3245</v>
      </c>
      <c r="B4495" s="8" t="s">
        <v>3246</v>
      </c>
      <c r="C4495" t="s">
        <v>6194</v>
      </c>
      <c r="D4495" s="8" t="s">
        <v>6195</v>
      </c>
    </row>
    <row r="4496" spans="1:4" x14ac:dyDescent="0.35">
      <c r="A4496" t="s">
        <v>3247</v>
      </c>
      <c r="B4496" s="8" t="s">
        <v>3248</v>
      </c>
      <c r="C4496" t="s">
        <v>6760</v>
      </c>
      <c r="D4496" s="8" t="s">
        <v>6761</v>
      </c>
    </row>
    <row r="4497" spans="1:4" x14ac:dyDescent="0.35">
      <c r="A4497" t="s">
        <v>3247</v>
      </c>
      <c r="B4497" s="8" t="s">
        <v>3248</v>
      </c>
      <c r="C4497" t="s">
        <v>6762</v>
      </c>
      <c r="D4497" s="8" t="s">
        <v>6763</v>
      </c>
    </row>
    <row r="4498" spans="1:4" x14ac:dyDescent="0.35">
      <c r="A4498" t="s">
        <v>3247</v>
      </c>
      <c r="B4498" s="8" t="s">
        <v>3248</v>
      </c>
      <c r="C4498" t="s">
        <v>6211</v>
      </c>
      <c r="D4498" s="8" t="s">
        <v>6212</v>
      </c>
    </row>
    <row r="4499" spans="1:4" x14ac:dyDescent="0.35">
      <c r="A4499" t="s">
        <v>3247</v>
      </c>
      <c r="B4499" s="8" t="s">
        <v>3248</v>
      </c>
      <c r="C4499" t="s">
        <v>6194</v>
      </c>
      <c r="D4499" s="8" t="s">
        <v>6195</v>
      </c>
    </row>
    <row r="4500" spans="1:4" x14ac:dyDescent="0.35">
      <c r="A4500" t="s">
        <v>3249</v>
      </c>
      <c r="B4500" s="8" t="s">
        <v>3250</v>
      </c>
      <c r="C4500" t="s">
        <v>6194</v>
      </c>
      <c r="D4500" s="8" t="s">
        <v>6195</v>
      </c>
    </row>
    <row r="4501" spans="1:4" x14ac:dyDescent="0.35">
      <c r="A4501" t="s">
        <v>3253</v>
      </c>
      <c r="B4501" s="8" t="s">
        <v>3254</v>
      </c>
      <c r="C4501" t="s">
        <v>6211</v>
      </c>
      <c r="D4501" s="8" t="s">
        <v>6212</v>
      </c>
    </row>
    <row r="4502" spans="1:4" x14ac:dyDescent="0.35">
      <c r="A4502" t="s">
        <v>3253</v>
      </c>
      <c r="B4502" s="8" t="s">
        <v>3254</v>
      </c>
      <c r="C4502" t="s">
        <v>6358</v>
      </c>
      <c r="D4502" s="8" t="s">
        <v>6359</v>
      </c>
    </row>
    <row r="4503" spans="1:4" x14ac:dyDescent="0.35">
      <c r="A4503" t="s">
        <v>3253</v>
      </c>
      <c r="B4503" s="8" t="s">
        <v>3254</v>
      </c>
      <c r="C4503" t="s">
        <v>6360</v>
      </c>
      <c r="D4503" s="8" t="s">
        <v>6361</v>
      </c>
    </row>
    <row r="4504" spans="1:4" x14ac:dyDescent="0.35">
      <c r="A4504" t="s">
        <v>3253</v>
      </c>
      <c r="B4504" s="8" t="s">
        <v>3254</v>
      </c>
      <c r="C4504" t="s">
        <v>6194</v>
      </c>
      <c r="D4504" s="8" t="s">
        <v>6195</v>
      </c>
    </row>
    <row r="4505" spans="1:4" x14ac:dyDescent="0.35">
      <c r="A4505" t="s">
        <v>3255</v>
      </c>
      <c r="B4505" s="8" t="s">
        <v>3256</v>
      </c>
      <c r="C4505" t="s">
        <v>6845</v>
      </c>
      <c r="D4505" s="8" t="s">
        <v>6846</v>
      </c>
    </row>
    <row r="4506" spans="1:4" x14ac:dyDescent="0.35">
      <c r="A4506" t="s">
        <v>3255</v>
      </c>
      <c r="B4506" s="8" t="s">
        <v>3256</v>
      </c>
      <c r="C4506" t="s">
        <v>6841</v>
      </c>
      <c r="D4506" s="8" t="s">
        <v>6842</v>
      </c>
    </row>
    <row r="4507" spans="1:4" x14ac:dyDescent="0.35">
      <c r="A4507" t="s">
        <v>3255</v>
      </c>
      <c r="B4507" s="8" t="s">
        <v>3256</v>
      </c>
      <c r="C4507" t="s">
        <v>6237</v>
      </c>
      <c r="D4507" s="8" t="s">
        <v>6238</v>
      </c>
    </row>
    <row r="4508" spans="1:4" x14ac:dyDescent="0.35">
      <c r="A4508" t="s">
        <v>3255</v>
      </c>
      <c r="B4508" s="8" t="s">
        <v>3256</v>
      </c>
      <c r="C4508" t="s">
        <v>6708</v>
      </c>
      <c r="D4508" s="8" t="s">
        <v>6709</v>
      </c>
    </row>
    <row r="4509" spans="1:4" x14ac:dyDescent="0.35">
      <c r="A4509" t="s">
        <v>3255</v>
      </c>
      <c r="B4509" s="8" t="s">
        <v>3256</v>
      </c>
      <c r="C4509" t="s">
        <v>6713</v>
      </c>
      <c r="D4509" s="8" t="s">
        <v>6714</v>
      </c>
    </row>
    <row r="4510" spans="1:4" x14ac:dyDescent="0.35">
      <c r="A4510" t="s">
        <v>3255</v>
      </c>
      <c r="B4510" s="8" t="s">
        <v>3256</v>
      </c>
      <c r="C4510" t="s">
        <v>6194</v>
      </c>
      <c r="D4510" s="8" t="s">
        <v>6195</v>
      </c>
    </row>
    <row r="4511" spans="1:4" x14ac:dyDescent="0.35">
      <c r="A4511" t="s">
        <v>3257</v>
      </c>
      <c r="B4511" s="8" t="s">
        <v>3258</v>
      </c>
      <c r="C4511" t="s">
        <v>6646</v>
      </c>
      <c r="D4511" s="8" t="s">
        <v>6647</v>
      </c>
    </row>
    <row r="4512" spans="1:4" x14ac:dyDescent="0.35">
      <c r="A4512" t="s">
        <v>3257</v>
      </c>
      <c r="B4512" s="8" t="s">
        <v>3258</v>
      </c>
      <c r="C4512" t="s">
        <v>6594</v>
      </c>
      <c r="D4512" s="8" t="s">
        <v>6595</v>
      </c>
    </row>
    <row r="4513" spans="1:4" x14ac:dyDescent="0.35">
      <c r="A4513" t="s">
        <v>3257</v>
      </c>
      <c r="B4513" s="8" t="s">
        <v>3258</v>
      </c>
      <c r="C4513" t="s">
        <v>6194</v>
      </c>
      <c r="D4513" s="8" t="s">
        <v>6195</v>
      </c>
    </row>
    <row r="4514" spans="1:4" x14ac:dyDescent="0.35">
      <c r="A4514" t="s">
        <v>3259</v>
      </c>
      <c r="B4514" s="8" t="s">
        <v>3260</v>
      </c>
      <c r="C4514" t="s">
        <v>6708</v>
      </c>
      <c r="D4514" s="8" t="s">
        <v>6709</v>
      </c>
    </row>
    <row r="4515" spans="1:4" x14ac:dyDescent="0.35">
      <c r="A4515" t="s">
        <v>3259</v>
      </c>
      <c r="B4515" s="8" t="s">
        <v>3260</v>
      </c>
      <c r="C4515" t="s">
        <v>6713</v>
      </c>
      <c r="D4515" s="8" t="s">
        <v>6714</v>
      </c>
    </row>
    <row r="4516" spans="1:4" x14ac:dyDescent="0.35">
      <c r="A4516" t="s">
        <v>3259</v>
      </c>
      <c r="B4516" s="8" t="s">
        <v>3260</v>
      </c>
      <c r="C4516" t="s">
        <v>6194</v>
      </c>
      <c r="D4516" s="8" t="s">
        <v>6195</v>
      </c>
    </row>
    <row r="4517" spans="1:4" x14ac:dyDescent="0.35">
      <c r="A4517" t="s">
        <v>3261</v>
      </c>
      <c r="B4517" s="8" t="s">
        <v>3262</v>
      </c>
      <c r="C4517" t="s">
        <v>6358</v>
      </c>
      <c r="D4517" s="8" t="s">
        <v>6359</v>
      </c>
    </row>
    <row r="4518" spans="1:4" x14ac:dyDescent="0.35">
      <c r="A4518" t="s">
        <v>3261</v>
      </c>
      <c r="B4518" s="8" t="s">
        <v>3262</v>
      </c>
      <c r="C4518" t="s">
        <v>6360</v>
      </c>
      <c r="D4518" s="8" t="s">
        <v>6361</v>
      </c>
    </row>
    <row r="4519" spans="1:4" x14ac:dyDescent="0.35">
      <c r="A4519" t="s">
        <v>3261</v>
      </c>
      <c r="B4519" s="8" t="s">
        <v>3262</v>
      </c>
      <c r="C4519" t="s">
        <v>6194</v>
      </c>
      <c r="D4519" s="8" t="s">
        <v>6195</v>
      </c>
    </row>
    <row r="4520" spans="1:4" x14ac:dyDescent="0.35">
      <c r="A4520" t="s">
        <v>3263</v>
      </c>
      <c r="B4520" s="8" t="s">
        <v>3264</v>
      </c>
      <c r="C4520" t="s">
        <v>6211</v>
      </c>
      <c r="D4520" s="8" t="s">
        <v>6212</v>
      </c>
    </row>
    <row r="4521" spans="1:4" x14ac:dyDescent="0.35">
      <c r="A4521" t="s">
        <v>3263</v>
      </c>
      <c r="B4521" s="8" t="s">
        <v>3264</v>
      </c>
      <c r="C4521" t="s">
        <v>6360</v>
      </c>
      <c r="D4521" s="8" t="s">
        <v>6361</v>
      </c>
    </row>
    <row r="4522" spans="1:4" x14ac:dyDescent="0.35">
      <c r="A4522" t="s">
        <v>3263</v>
      </c>
      <c r="B4522" s="8" t="s">
        <v>3264</v>
      </c>
      <c r="C4522" t="s">
        <v>6194</v>
      </c>
      <c r="D4522" s="8" t="s">
        <v>6195</v>
      </c>
    </row>
    <row r="4523" spans="1:4" x14ac:dyDescent="0.35">
      <c r="A4523" t="s">
        <v>3265</v>
      </c>
      <c r="B4523" s="8" t="s">
        <v>3266</v>
      </c>
      <c r="C4523" t="s">
        <v>6358</v>
      </c>
      <c r="D4523" s="8" t="s">
        <v>6359</v>
      </c>
    </row>
    <row r="4524" spans="1:4" x14ac:dyDescent="0.35">
      <c r="A4524" t="s">
        <v>3265</v>
      </c>
      <c r="B4524" s="8" t="s">
        <v>3266</v>
      </c>
      <c r="C4524" t="s">
        <v>6360</v>
      </c>
      <c r="D4524" s="8" t="s">
        <v>6361</v>
      </c>
    </row>
    <row r="4525" spans="1:4" x14ac:dyDescent="0.35">
      <c r="A4525" t="s">
        <v>3265</v>
      </c>
      <c r="B4525" s="8" t="s">
        <v>3266</v>
      </c>
      <c r="C4525" t="s">
        <v>6194</v>
      </c>
      <c r="D4525" s="8" t="s">
        <v>6195</v>
      </c>
    </row>
    <row r="4526" spans="1:4" x14ac:dyDescent="0.35">
      <c r="A4526" t="s">
        <v>3267</v>
      </c>
      <c r="B4526" s="8" t="s">
        <v>3268</v>
      </c>
      <c r="C4526" t="s">
        <v>6211</v>
      </c>
      <c r="D4526" s="8" t="s">
        <v>6212</v>
      </c>
    </row>
    <row r="4527" spans="1:4" x14ac:dyDescent="0.35">
      <c r="A4527" t="s">
        <v>3267</v>
      </c>
      <c r="B4527" s="8" t="s">
        <v>3268</v>
      </c>
      <c r="C4527" t="s">
        <v>6358</v>
      </c>
      <c r="D4527" s="8" t="s">
        <v>6359</v>
      </c>
    </row>
    <row r="4528" spans="1:4" x14ac:dyDescent="0.35">
      <c r="A4528" t="s">
        <v>3269</v>
      </c>
      <c r="B4528" s="8" t="s">
        <v>3270</v>
      </c>
      <c r="C4528" t="s">
        <v>6211</v>
      </c>
      <c r="D4528" s="8" t="s">
        <v>6212</v>
      </c>
    </row>
    <row r="4529" spans="1:4" x14ac:dyDescent="0.35">
      <c r="A4529" t="s">
        <v>3271</v>
      </c>
      <c r="B4529" s="8" t="s">
        <v>3272</v>
      </c>
      <c r="C4529" t="s">
        <v>6358</v>
      </c>
      <c r="D4529" s="8" t="s">
        <v>6359</v>
      </c>
    </row>
    <row r="4530" spans="1:4" x14ac:dyDescent="0.35">
      <c r="A4530" t="s">
        <v>3271</v>
      </c>
      <c r="B4530" s="8" t="s">
        <v>3272</v>
      </c>
      <c r="C4530" t="s">
        <v>6360</v>
      </c>
      <c r="D4530" s="8" t="s">
        <v>6361</v>
      </c>
    </row>
    <row r="4531" spans="1:4" x14ac:dyDescent="0.35">
      <c r="A4531" t="s">
        <v>3271</v>
      </c>
      <c r="B4531" s="8" t="s">
        <v>3272</v>
      </c>
      <c r="C4531" t="s">
        <v>6194</v>
      </c>
      <c r="D4531" s="8" t="s">
        <v>6195</v>
      </c>
    </row>
    <row r="4532" spans="1:4" x14ac:dyDescent="0.35">
      <c r="A4532" t="s">
        <v>7592</v>
      </c>
      <c r="B4532" s="8" t="s">
        <v>3273</v>
      </c>
      <c r="C4532" t="s">
        <v>6211</v>
      </c>
      <c r="D4532" s="8" t="s">
        <v>6212</v>
      </c>
    </row>
    <row r="4533" spans="1:4" x14ac:dyDescent="0.35">
      <c r="A4533" t="s">
        <v>7592</v>
      </c>
      <c r="B4533" s="8" t="s">
        <v>3273</v>
      </c>
      <c r="C4533" t="s">
        <v>6235</v>
      </c>
      <c r="D4533" s="8" t="s">
        <v>6236</v>
      </c>
    </row>
    <row r="4534" spans="1:4" x14ac:dyDescent="0.35">
      <c r="A4534" t="s">
        <v>7592</v>
      </c>
      <c r="B4534" s="8" t="s">
        <v>3273</v>
      </c>
      <c r="C4534" t="s">
        <v>6708</v>
      </c>
      <c r="D4534" s="8" t="s">
        <v>6709</v>
      </c>
    </row>
    <row r="4535" spans="1:4" x14ac:dyDescent="0.35">
      <c r="A4535" t="s">
        <v>7592</v>
      </c>
      <c r="B4535" s="8" t="s">
        <v>3273</v>
      </c>
      <c r="C4535" t="s">
        <v>6713</v>
      </c>
      <c r="D4535" s="8" t="s">
        <v>6714</v>
      </c>
    </row>
    <row r="4536" spans="1:4" x14ac:dyDescent="0.35">
      <c r="A4536" t="s">
        <v>7592</v>
      </c>
      <c r="B4536" s="8" t="s">
        <v>3273</v>
      </c>
      <c r="C4536" t="s">
        <v>6194</v>
      </c>
      <c r="D4536" s="8" t="s">
        <v>6195</v>
      </c>
    </row>
    <row r="4537" spans="1:4" x14ac:dyDescent="0.35">
      <c r="A4537" t="s">
        <v>7593</v>
      </c>
      <c r="B4537" s="8" t="s">
        <v>3274</v>
      </c>
      <c r="C4537" t="s">
        <v>6211</v>
      </c>
      <c r="D4537" s="8" t="s">
        <v>6212</v>
      </c>
    </row>
    <row r="4538" spans="1:4" x14ac:dyDescent="0.35">
      <c r="A4538" t="s">
        <v>7593</v>
      </c>
      <c r="B4538" s="8" t="s">
        <v>3274</v>
      </c>
      <c r="C4538" t="s">
        <v>6194</v>
      </c>
      <c r="D4538" s="8" t="s">
        <v>6195</v>
      </c>
    </row>
    <row r="4539" spans="1:4" x14ac:dyDescent="0.35">
      <c r="A4539" t="s">
        <v>7593</v>
      </c>
      <c r="B4539" s="8" t="s">
        <v>3274</v>
      </c>
      <c r="C4539" t="s">
        <v>6850</v>
      </c>
      <c r="D4539" s="8" t="s">
        <v>6851</v>
      </c>
    </row>
    <row r="4540" spans="1:4" x14ac:dyDescent="0.35">
      <c r="A4540" t="s">
        <v>3275</v>
      </c>
      <c r="B4540" s="8" t="s">
        <v>3276</v>
      </c>
      <c r="C4540" t="s">
        <v>6211</v>
      </c>
      <c r="D4540" s="8" t="s">
        <v>6212</v>
      </c>
    </row>
    <row r="4541" spans="1:4" x14ac:dyDescent="0.35">
      <c r="A4541" t="s">
        <v>3275</v>
      </c>
      <c r="B4541" s="8" t="s">
        <v>3276</v>
      </c>
      <c r="C4541" t="s">
        <v>6194</v>
      </c>
      <c r="D4541" s="8" t="s">
        <v>6195</v>
      </c>
    </row>
    <row r="4542" spans="1:4" x14ac:dyDescent="0.35">
      <c r="A4542" t="s">
        <v>7594</v>
      </c>
      <c r="B4542" s="8" t="s">
        <v>3277</v>
      </c>
      <c r="C4542" t="s">
        <v>6194</v>
      </c>
      <c r="D4542" s="8" t="s">
        <v>6195</v>
      </c>
    </row>
    <row r="4543" spans="1:4" x14ac:dyDescent="0.35">
      <c r="A4543" t="s">
        <v>7594</v>
      </c>
      <c r="B4543" s="8" t="s">
        <v>3277</v>
      </c>
      <c r="C4543" t="s">
        <v>7595</v>
      </c>
      <c r="D4543" s="8" t="s">
        <v>7596</v>
      </c>
    </row>
    <row r="4544" spans="1:4" x14ac:dyDescent="0.35">
      <c r="A4544" t="s">
        <v>3278</v>
      </c>
      <c r="B4544" s="8" t="s">
        <v>3279</v>
      </c>
      <c r="C4544" t="s">
        <v>6194</v>
      </c>
      <c r="D4544" s="8" t="s">
        <v>6195</v>
      </c>
    </row>
    <row r="4545" spans="1:4" x14ac:dyDescent="0.35">
      <c r="A4545" t="s">
        <v>3278</v>
      </c>
      <c r="B4545" s="8" t="s">
        <v>3279</v>
      </c>
      <c r="C4545" t="s">
        <v>7595</v>
      </c>
      <c r="D4545" s="8" t="s">
        <v>7596</v>
      </c>
    </row>
    <row r="4546" spans="1:4" x14ac:dyDescent="0.35">
      <c r="A4546" t="s">
        <v>3280</v>
      </c>
      <c r="B4546" s="8" t="s">
        <v>3281</v>
      </c>
      <c r="C4546" t="s">
        <v>6194</v>
      </c>
      <c r="D4546" s="8" t="s">
        <v>6195</v>
      </c>
    </row>
    <row r="4547" spans="1:4" x14ac:dyDescent="0.35">
      <c r="A4547" t="s">
        <v>3280</v>
      </c>
      <c r="B4547" s="8" t="s">
        <v>3281</v>
      </c>
      <c r="C4547" t="s">
        <v>7595</v>
      </c>
      <c r="D4547" s="8" t="s">
        <v>7596</v>
      </c>
    </row>
    <row r="4548" spans="1:4" x14ac:dyDescent="0.35">
      <c r="A4548" t="s">
        <v>3282</v>
      </c>
      <c r="B4548" s="8" t="s">
        <v>3283</v>
      </c>
      <c r="C4548" t="s">
        <v>6194</v>
      </c>
      <c r="D4548" s="8" t="s">
        <v>6195</v>
      </c>
    </row>
    <row r="4549" spans="1:4" x14ac:dyDescent="0.35">
      <c r="A4549" t="s">
        <v>3282</v>
      </c>
      <c r="B4549" s="8" t="s">
        <v>3283</v>
      </c>
      <c r="C4549" t="s">
        <v>7595</v>
      </c>
      <c r="D4549" s="8" t="s">
        <v>7596</v>
      </c>
    </row>
    <row r="4550" spans="1:4" x14ac:dyDescent="0.35">
      <c r="A4550" t="s">
        <v>3284</v>
      </c>
      <c r="B4550" s="8" t="s">
        <v>3285</v>
      </c>
      <c r="C4550" t="s">
        <v>6194</v>
      </c>
      <c r="D4550" s="8" t="s">
        <v>6195</v>
      </c>
    </row>
    <row r="4551" spans="1:4" x14ac:dyDescent="0.35">
      <c r="A4551" t="s">
        <v>3284</v>
      </c>
      <c r="B4551" s="8" t="s">
        <v>3285</v>
      </c>
      <c r="C4551" t="s">
        <v>7597</v>
      </c>
      <c r="D4551" s="8" t="s">
        <v>7598</v>
      </c>
    </row>
    <row r="4552" spans="1:4" x14ac:dyDescent="0.35">
      <c r="A4552" t="s">
        <v>3286</v>
      </c>
      <c r="B4552" s="8" t="s">
        <v>3287</v>
      </c>
      <c r="C4552" t="s">
        <v>6194</v>
      </c>
      <c r="D4552" s="8" t="s">
        <v>6195</v>
      </c>
    </row>
    <row r="4553" spans="1:4" x14ac:dyDescent="0.35">
      <c r="A4553" t="s">
        <v>3286</v>
      </c>
      <c r="B4553" s="8" t="s">
        <v>3287</v>
      </c>
      <c r="C4553" t="s">
        <v>7599</v>
      </c>
      <c r="D4553" s="8" t="s">
        <v>7600</v>
      </c>
    </row>
    <row r="4554" spans="1:4" x14ac:dyDescent="0.35">
      <c r="A4554" t="s">
        <v>3286</v>
      </c>
      <c r="B4554" s="8" t="s">
        <v>3287</v>
      </c>
      <c r="C4554" t="s">
        <v>7601</v>
      </c>
      <c r="D4554" s="8" t="s">
        <v>7602</v>
      </c>
    </row>
    <row r="4555" spans="1:4" x14ac:dyDescent="0.35">
      <c r="A4555" t="s">
        <v>3288</v>
      </c>
      <c r="B4555" s="8" t="s">
        <v>3289</v>
      </c>
      <c r="C4555" t="s">
        <v>6194</v>
      </c>
      <c r="D4555" s="8" t="s">
        <v>6195</v>
      </c>
    </row>
    <row r="4556" spans="1:4" x14ac:dyDescent="0.35">
      <c r="A4556" t="s">
        <v>3288</v>
      </c>
      <c r="B4556" s="8" t="s">
        <v>3289</v>
      </c>
      <c r="C4556" t="s">
        <v>7603</v>
      </c>
      <c r="D4556" s="8" t="s">
        <v>7604</v>
      </c>
    </row>
    <row r="4557" spans="1:4" x14ac:dyDescent="0.35">
      <c r="A4557" t="s">
        <v>3290</v>
      </c>
      <c r="B4557" s="8" t="s">
        <v>3291</v>
      </c>
      <c r="C4557" t="s">
        <v>6194</v>
      </c>
      <c r="D4557" s="8" t="s">
        <v>6195</v>
      </c>
    </row>
    <row r="4558" spans="1:4" x14ac:dyDescent="0.35">
      <c r="A4558" t="s">
        <v>3290</v>
      </c>
      <c r="B4558" s="8" t="s">
        <v>3291</v>
      </c>
      <c r="C4558" t="s">
        <v>7605</v>
      </c>
      <c r="D4558" s="8" t="s">
        <v>7606</v>
      </c>
    </row>
    <row r="4559" spans="1:4" x14ac:dyDescent="0.35">
      <c r="A4559" t="s">
        <v>3292</v>
      </c>
      <c r="B4559" s="8" t="s">
        <v>3293</v>
      </c>
      <c r="C4559" t="s">
        <v>7607</v>
      </c>
      <c r="D4559" s="8" t="s">
        <v>7608</v>
      </c>
    </row>
    <row r="4560" spans="1:4" x14ac:dyDescent="0.35">
      <c r="A4560" t="s">
        <v>3292</v>
      </c>
      <c r="B4560" s="8" t="s">
        <v>3293</v>
      </c>
      <c r="C4560" t="s">
        <v>6194</v>
      </c>
      <c r="D4560" s="8" t="s">
        <v>6195</v>
      </c>
    </row>
    <row r="4561" spans="1:4" x14ac:dyDescent="0.35">
      <c r="A4561" t="s">
        <v>3294</v>
      </c>
      <c r="B4561" s="8" t="s">
        <v>3295</v>
      </c>
      <c r="C4561" t="s">
        <v>7603</v>
      </c>
      <c r="D4561" s="8" t="s">
        <v>7604</v>
      </c>
    </row>
    <row r="4562" spans="1:4" x14ac:dyDescent="0.35">
      <c r="A4562" t="s">
        <v>3294</v>
      </c>
      <c r="B4562" s="8" t="s">
        <v>3295</v>
      </c>
      <c r="C4562" t="s">
        <v>6852</v>
      </c>
      <c r="D4562" s="8" t="s">
        <v>6853</v>
      </c>
    </row>
    <row r="4563" spans="1:4" x14ac:dyDescent="0.35">
      <c r="A4563" t="s">
        <v>3296</v>
      </c>
      <c r="B4563" s="8" t="s">
        <v>3297</v>
      </c>
      <c r="C4563" t="s">
        <v>6607</v>
      </c>
      <c r="D4563" s="8" t="s">
        <v>6608</v>
      </c>
    </row>
    <row r="4564" spans="1:4" x14ac:dyDescent="0.35">
      <c r="A4564" t="s">
        <v>3296</v>
      </c>
      <c r="B4564" s="8" t="s">
        <v>3297</v>
      </c>
      <c r="C4564" t="s">
        <v>7607</v>
      </c>
      <c r="D4564" s="8" t="s">
        <v>7608</v>
      </c>
    </row>
    <row r="4565" spans="1:4" x14ac:dyDescent="0.35">
      <c r="A4565" t="s">
        <v>3296</v>
      </c>
      <c r="B4565" s="8" t="s">
        <v>3297</v>
      </c>
      <c r="C4565" t="s">
        <v>7599</v>
      </c>
      <c r="D4565" s="8" t="s">
        <v>7600</v>
      </c>
    </row>
    <row r="4566" spans="1:4" x14ac:dyDescent="0.35">
      <c r="A4566" t="s">
        <v>3296</v>
      </c>
      <c r="B4566" s="8" t="s">
        <v>3297</v>
      </c>
      <c r="C4566" t="s">
        <v>7601</v>
      </c>
      <c r="D4566" s="8" t="s">
        <v>7602</v>
      </c>
    </row>
    <row r="4567" spans="1:4" x14ac:dyDescent="0.35">
      <c r="A4567" t="s">
        <v>3298</v>
      </c>
      <c r="B4567" s="8" t="s">
        <v>3299</v>
      </c>
      <c r="C4567" t="s">
        <v>6194</v>
      </c>
      <c r="D4567" s="8" t="s">
        <v>6195</v>
      </c>
    </row>
    <row r="4568" spans="1:4" x14ac:dyDescent="0.35">
      <c r="A4568" t="s">
        <v>3298</v>
      </c>
      <c r="B4568" s="8" t="s">
        <v>3299</v>
      </c>
      <c r="C4568" t="s">
        <v>7595</v>
      </c>
      <c r="D4568" s="8" t="s">
        <v>7596</v>
      </c>
    </row>
    <row r="4569" spans="1:4" x14ac:dyDescent="0.35">
      <c r="A4569" t="s">
        <v>3300</v>
      </c>
      <c r="B4569" s="8" t="s">
        <v>3301</v>
      </c>
      <c r="C4569" t="s">
        <v>6835</v>
      </c>
      <c r="D4569" s="8" t="s">
        <v>6836</v>
      </c>
    </row>
    <row r="4570" spans="1:4" x14ac:dyDescent="0.35">
      <c r="A4570" t="s">
        <v>3300</v>
      </c>
      <c r="B4570" s="8" t="s">
        <v>3301</v>
      </c>
      <c r="C4570" t="s">
        <v>7607</v>
      </c>
      <c r="D4570" s="8" t="s">
        <v>7608</v>
      </c>
    </row>
    <row r="4571" spans="1:4" x14ac:dyDescent="0.35">
      <c r="A4571" t="s">
        <v>3300</v>
      </c>
      <c r="B4571" s="8" t="s">
        <v>3301</v>
      </c>
      <c r="C4571" t="s">
        <v>6194</v>
      </c>
      <c r="D4571" s="8" t="s">
        <v>6195</v>
      </c>
    </row>
    <row r="4572" spans="1:4" x14ac:dyDescent="0.35">
      <c r="A4572" t="s">
        <v>7609</v>
      </c>
      <c r="B4572" s="8" t="s">
        <v>3302</v>
      </c>
      <c r="C4572" t="s">
        <v>6194</v>
      </c>
      <c r="D4572" s="8" t="s">
        <v>6195</v>
      </c>
    </row>
    <row r="4573" spans="1:4" x14ac:dyDescent="0.35">
      <c r="A4573" t="s">
        <v>7609</v>
      </c>
      <c r="B4573" s="8" t="s">
        <v>3302</v>
      </c>
      <c r="C4573" t="s">
        <v>7595</v>
      </c>
      <c r="D4573" s="8" t="s">
        <v>7596</v>
      </c>
    </row>
    <row r="4574" spans="1:4" x14ac:dyDescent="0.35">
      <c r="A4574" t="s">
        <v>7610</v>
      </c>
      <c r="B4574" s="8" t="s">
        <v>3303</v>
      </c>
      <c r="C4574" t="s">
        <v>6194</v>
      </c>
      <c r="D4574" s="8" t="s">
        <v>6195</v>
      </c>
    </row>
    <row r="4575" spans="1:4" x14ac:dyDescent="0.35">
      <c r="A4575" t="s">
        <v>7610</v>
      </c>
      <c r="B4575" s="8" t="s">
        <v>3303</v>
      </c>
      <c r="C4575" t="s">
        <v>7595</v>
      </c>
      <c r="D4575" s="8" t="s">
        <v>7596</v>
      </c>
    </row>
    <row r="4576" spans="1:4" x14ac:dyDescent="0.35">
      <c r="A4576" t="s">
        <v>7611</v>
      </c>
      <c r="B4576" s="8" t="s">
        <v>3304</v>
      </c>
      <c r="C4576" t="s">
        <v>6194</v>
      </c>
      <c r="D4576" s="8" t="s">
        <v>6195</v>
      </c>
    </row>
    <row r="4577" spans="1:4" x14ac:dyDescent="0.35">
      <c r="A4577" t="s">
        <v>7611</v>
      </c>
      <c r="B4577" s="8" t="s">
        <v>3304</v>
      </c>
      <c r="C4577" t="s">
        <v>7595</v>
      </c>
      <c r="D4577" s="8" t="s">
        <v>7596</v>
      </c>
    </row>
    <row r="4578" spans="1:4" x14ac:dyDescent="0.35">
      <c r="A4578" t="s">
        <v>3305</v>
      </c>
      <c r="B4578" s="8" t="s">
        <v>3306</v>
      </c>
      <c r="C4578" t="s">
        <v>6194</v>
      </c>
      <c r="D4578" s="8" t="s">
        <v>6195</v>
      </c>
    </row>
    <row r="4579" spans="1:4" x14ac:dyDescent="0.35">
      <c r="A4579" t="s">
        <v>3305</v>
      </c>
      <c r="B4579" s="8" t="s">
        <v>3306</v>
      </c>
      <c r="C4579" t="s">
        <v>7595</v>
      </c>
      <c r="D4579" s="8" t="s">
        <v>7596</v>
      </c>
    </row>
    <row r="4580" spans="1:4" x14ac:dyDescent="0.35">
      <c r="A4580" t="s">
        <v>3333</v>
      </c>
      <c r="B4580" s="8" t="s">
        <v>3334</v>
      </c>
      <c r="C4580" t="s">
        <v>7612</v>
      </c>
      <c r="D4580" s="8" t="s">
        <v>7613</v>
      </c>
    </row>
    <row r="4581" spans="1:4" x14ac:dyDescent="0.35">
      <c r="A4581" t="s">
        <v>3333</v>
      </c>
      <c r="B4581" s="8" t="s">
        <v>3334</v>
      </c>
      <c r="C4581" t="s">
        <v>7578</v>
      </c>
      <c r="D4581" s="8" t="s">
        <v>7579</v>
      </c>
    </row>
    <row r="4582" spans="1:4" x14ac:dyDescent="0.35">
      <c r="A4582" t="s">
        <v>3335</v>
      </c>
      <c r="B4582" s="8" t="s">
        <v>3336</v>
      </c>
      <c r="C4582" t="s">
        <v>7614</v>
      </c>
      <c r="D4582" s="8" t="s">
        <v>7615</v>
      </c>
    </row>
    <row r="4583" spans="1:4" x14ac:dyDescent="0.35">
      <c r="A4583" t="s">
        <v>3335</v>
      </c>
      <c r="B4583" s="8" t="s">
        <v>3336</v>
      </c>
      <c r="C4583" t="s">
        <v>7616</v>
      </c>
      <c r="D4583" s="8" t="s">
        <v>7617</v>
      </c>
    </row>
    <row r="4584" spans="1:4" x14ac:dyDescent="0.35">
      <c r="A4584" t="s">
        <v>3337</v>
      </c>
      <c r="B4584" s="8" t="s">
        <v>3338</v>
      </c>
      <c r="C4584" t="s">
        <v>7461</v>
      </c>
      <c r="D4584" s="8" t="s">
        <v>7462</v>
      </c>
    </row>
    <row r="4585" spans="1:4" x14ac:dyDescent="0.35">
      <c r="A4585" t="s">
        <v>3339</v>
      </c>
      <c r="B4585" s="8" t="s">
        <v>3340</v>
      </c>
      <c r="C4585" t="s">
        <v>7618</v>
      </c>
      <c r="D4585" s="8" t="s">
        <v>7619</v>
      </c>
    </row>
    <row r="4586" spans="1:4" x14ac:dyDescent="0.35">
      <c r="A4586" t="s">
        <v>3339</v>
      </c>
      <c r="B4586" s="8" t="s">
        <v>3340</v>
      </c>
      <c r="C4586" t="s">
        <v>7620</v>
      </c>
      <c r="D4586" s="8" t="s">
        <v>7621</v>
      </c>
    </row>
    <row r="4587" spans="1:4" x14ac:dyDescent="0.35">
      <c r="A4587" t="s">
        <v>3339</v>
      </c>
      <c r="B4587" s="8" t="s">
        <v>3340</v>
      </c>
      <c r="C4587" t="s">
        <v>7461</v>
      </c>
      <c r="D4587" s="8" t="s">
        <v>7462</v>
      </c>
    </row>
    <row r="4588" spans="1:4" x14ac:dyDescent="0.35">
      <c r="A4588" t="s">
        <v>7622</v>
      </c>
      <c r="B4588" s="8" t="s">
        <v>3341</v>
      </c>
      <c r="C4588" t="s">
        <v>7620</v>
      </c>
      <c r="D4588" s="8" t="s">
        <v>7621</v>
      </c>
    </row>
    <row r="4589" spans="1:4" x14ac:dyDescent="0.35">
      <c r="A4589" t="s">
        <v>3342</v>
      </c>
      <c r="B4589" s="8" t="s">
        <v>3343</v>
      </c>
      <c r="C4589" t="s">
        <v>6163</v>
      </c>
      <c r="D4589" s="8" t="s">
        <v>6164</v>
      </c>
    </row>
    <row r="4590" spans="1:4" x14ac:dyDescent="0.35">
      <c r="A4590" t="s">
        <v>3344</v>
      </c>
      <c r="B4590" s="8" t="s">
        <v>3345</v>
      </c>
      <c r="C4590" t="s">
        <v>7409</v>
      </c>
      <c r="D4590" s="8" t="s">
        <v>7410</v>
      </c>
    </row>
    <row r="4591" spans="1:4" x14ac:dyDescent="0.35">
      <c r="A4591" t="s">
        <v>3346</v>
      </c>
      <c r="B4591" s="8" t="s">
        <v>3347</v>
      </c>
      <c r="C4591" t="s">
        <v>6398</v>
      </c>
      <c r="D4591" s="8" t="s">
        <v>6399</v>
      </c>
    </row>
    <row r="4592" spans="1:4" x14ac:dyDescent="0.35">
      <c r="A4592" t="s">
        <v>3346</v>
      </c>
      <c r="B4592" s="8" t="s">
        <v>3347</v>
      </c>
      <c r="C4592" t="s">
        <v>6410</v>
      </c>
      <c r="D4592" s="8" t="s">
        <v>6411</v>
      </c>
    </row>
    <row r="4593" spans="1:4" x14ac:dyDescent="0.35">
      <c r="A4593" t="s">
        <v>3346</v>
      </c>
      <c r="B4593" s="8" t="s">
        <v>3347</v>
      </c>
      <c r="C4593" t="s">
        <v>6483</v>
      </c>
      <c r="D4593" s="8" t="s">
        <v>6484</v>
      </c>
    </row>
    <row r="4594" spans="1:4" x14ac:dyDescent="0.35">
      <c r="A4594" t="s">
        <v>3346</v>
      </c>
      <c r="B4594" s="8" t="s">
        <v>3347</v>
      </c>
      <c r="C4594" t="s">
        <v>7465</v>
      </c>
      <c r="D4594" s="8" t="s">
        <v>7466</v>
      </c>
    </row>
    <row r="4595" spans="1:4" x14ac:dyDescent="0.35">
      <c r="A4595" t="s">
        <v>3348</v>
      </c>
      <c r="B4595" s="8" t="s">
        <v>3349</v>
      </c>
      <c r="C4595" t="s">
        <v>6163</v>
      </c>
      <c r="D4595" s="8" t="s">
        <v>6164</v>
      </c>
    </row>
    <row r="4596" spans="1:4" x14ac:dyDescent="0.35">
      <c r="A4596" t="s">
        <v>3350</v>
      </c>
      <c r="B4596" s="8" t="s">
        <v>3351</v>
      </c>
      <c r="C4596" t="s">
        <v>6768</v>
      </c>
      <c r="D4596" s="8" t="s">
        <v>6769</v>
      </c>
    </row>
    <row r="4597" spans="1:4" x14ac:dyDescent="0.35">
      <c r="A4597" t="s">
        <v>3350</v>
      </c>
      <c r="B4597" s="8" t="s">
        <v>3351</v>
      </c>
      <c r="C4597" t="s">
        <v>6770</v>
      </c>
      <c r="D4597" s="8" t="s">
        <v>6771</v>
      </c>
    </row>
    <row r="4598" spans="1:4" x14ac:dyDescent="0.35">
      <c r="A4598" t="s">
        <v>3352</v>
      </c>
      <c r="B4598" s="8" t="s">
        <v>3353</v>
      </c>
      <c r="C4598" t="s">
        <v>6768</v>
      </c>
      <c r="D4598" s="8" t="s">
        <v>6769</v>
      </c>
    </row>
    <row r="4599" spans="1:4" x14ac:dyDescent="0.35">
      <c r="A4599" t="s">
        <v>3354</v>
      </c>
      <c r="B4599" s="8" t="s">
        <v>3355</v>
      </c>
      <c r="C4599" t="s">
        <v>6770</v>
      </c>
      <c r="D4599" s="8" t="s">
        <v>6771</v>
      </c>
    </row>
    <row r="4600" spans="1:4" x14ac:dyDescent="0.35">
      <c r="A4600" t="s">
        <v>3356</v>
      </c>
      <c r="B4600" s="8" t="s">
        <v>3357</v>
      </c>
      <c r="C4600" t="s">
        <v>6770</v>
      </c>
      <c r="D4600" s="8" t="s">
        <v>6771</v>
      </c>
    </row>
    <row r="4601" spans="1:4" x14ac:dyDescent="0.35">
      <c r="A4601" t="s">
        <v>3358</v>
      </c>
      <c r="B4601" s="8" t="s">
        <v>3359</v>
      </c>
      <c r="C4601" t="s">
        <v>6768</v>
      </c>
      <c r="D4601" s="8" t="s">
        <v>6769</v>
      </c>
    </row>
    <row r="4602" spans="1:4" x14ac:dyDescent="0.35">
      <c r="A4602" t="s">
        <v>3360</v>
      </c>
      <c r="B4602" s="8" t="s">
        <v>3361</v>
      </c>
      <c r="C4602" t="s">
        <v>6914</v>
      </c>
      <c r="D4602" s="8" t="s">
        <v>6915</v>
      </c>
    </row>
    <row r="4603" spans="1:4" x14ac:dyDescent="0.35">
      <c r="A4603" t="s">
        <v>3360</v>
      </c>
      <c r="B4603" s="8" t="s">
        <v>3361</v>
      </c>
      <c r="C4603" t="s">
        <v>6949</v>
      </c>
      <c r="D4603" s="8" t="s">
        <v>6950</v>
      </c>
    </row>
    <row r="4604" spans="1:4" x14ac:dyDescent="0.35">
      <c r="A4604" t="s">
        <v>3360</v>
      </c>
      <c r="B4604" s="8" t="s">
        <v>3361</v>
      </c>
      <c r="C4604" t="s">
        <v>7469</v>
      </c>
      <c r="D4604" s="8" t="s">
        <v>7470</v>
      </c>
    </row>
    <row r="4605" spans="1:4" x14ac:dyDescent="0.35">
      <c r="A4605" t="s">
        <v>7623</v>
      </c>
      <c r="B4605" s="8" t="s">
        <v>3362</v>
      </c>
      <c r="C4605" t="s">
        <v>6526</v>
      </c>
      <c r="D4605" s="8" t="s">
        <v>6527</v>
      </c>
    </row>
    <row r="4606" spans="1:4" x14ac:dyDescent="0.35">
      <c r="A4606" t="s">
        <v>7623</v>
      </c>
      <c r="B4606" s="8" t="s">
        <v>3362</v>
      </c>
      <c r="C4606" t="s">
        <v>6194</v>
      </c>
      <c r="D4606" s="8" t="s">
        <v>6195</v>
      </c>
    </row>
    <row r="4607" spans="1:4" x14ac:dyDescent="0.35">
      <c r="A4607" t="s">
        <v>7623</v>
      </c>
      <c r="B4607" s="8" t="s">
        <v>3362</v>
      </c>
      <c r="C4607" t="s">
        <v>6500</v>
      </c>
      <c r="D4607" s="8" t="s">
        <v>6501</v>
      </c>
    </row>
    <row r="4608" spans="1:4" x14ac:dyDescent="0.35">
      <c r="A4608" t="s">
        <v>7624</v>
      </c>
      <c r="B4608" s="8" t="s">
        <v>3447</v>
      </c>
      <c r="C4608" t="s">
        <v>6526</v>
      </c>
      <c r="D4608" s="8" t="s">
        <v>6527</v>
      </c>
    </row>
    <row r="4609" spans="1:4" x14ac:dyDescent="0.35">
      <c r="A4609" t="s">
        <v>7624</v>
      </c>
      <c r="B4609" s="8" t="s">
        <v>3447</v>
      </c>
      <c r="C4609" t="s">
        <v>7625</v>
      </c>
      <c r="D4609" s="8" t="s">
        <v>7626</v>
      </c>
    </row>
    <row r="4610" spans="1:4" x14ac:dyDescent="0.35">
      <c r="A4610" t="s">
        <v>7627</v>
      </c>
      <c r="B4610" s="8" t="s">
        <v>3363</v>
      </c>
      <c r="C4610" t="s">
        <v>7102</v>
      </c>
      <c r="D4610" s="8" t="s">
        <v>7103</v>
      </c>
    </row>
    <row r="4611" spans="1:4" x14ac:dyDescent="0.35">
      <c r="A4611" t="s">
        <v>7627</v>
      </c>
      <c r="B4611" s="8" t="s">
        <v>3363</v>
      </c>
      <c r="C4611" t="s">
        <v>6908</v>
      </c>
      <c r="D4611" s="8" t="s">
        <v>6909</v>
      </c>
    </row>
    <row r="4612" spans="1:4" x14ac:dyDescent="0.35">
      <c r="A4612" t="s">
        <v>7627</v>
      </c>
      <c r="B4612" s="8" t="s">
        <v>3363</v>
      </c>
      <c r="C4612" t="s">
        <v>6927</v>
      </c>
      <c r="D4612" s="8" t="s">
        <v>6928</v>
      </c>
    </row>
    <row r="4613" spans="1:4" x14ac:dyDescent="0.35">
      <c r="A4613" t="s">
        <v>7627</v>
      </c>
      <c r="B4613" s="8" t="s">
        <v>3363</v>
      </c>
      <c r="C4613" t="s">
        <v>6295</v>
      </c>
      <c r="D4613" s="8" t="s">
        <v>6296</v>
      </c>
    </row>
    <row r="4614" spans="1:4" x14ac:dyDescent="0.35">
      <c r="A4614" t="s">
        <v>7627</v>
      </c>
      <c r="B4614" s="8" t="s">
        <v>3363</v>
      </c>
      <c r="C4614" t="s">
        <v>6268</v>
      </c>
      <c r="D4614" s="8" t="s">
        <v>6269</v>
      </c>
    </row>
    <row r="4615" spans="1:4" x14ac:dyDescent="0.35">
      <c r="A4615" t="s">
        <v>7627</v>
      </c>
      <c r="B4615" s="8" t="s">
        <v>3363</v>
      </c>
      <c r="C4615" t="s">
        <v>6286</v>
      </c>
      <c r="D4615" s="8" t="s">
        <v>6287</v>
      </c>
    </row>
    <row r="4616" spans="1:4" x14ac:dyDescent="0.35">
      <c r="A4616" t="s">
        <v>7627</v>
      </c>
      <c r="B4616" s="8" t="s">
        <v>3363</v>
      </c>
      <c r="C4616" t="s">
        <v>6483</v>
      </c>
      <c r="D4616" s="8" t="s">
        <v>6484</v>
      </c>
    </row>
    <row r="4617" spans="1:4" x14ac:dyDescent="0.35">
      <c r="A4617" t="s">
        <v>7628</v>
      </c>
      <c r="B4617" s="8" t="s">
        <v>3364</v>
      </c>
      <c r="C4617" t="s">
        <v>6295</v>
      </c>
      <c r="D4617" s="8" t="s">
        <v>6296</v>
      </c>
    </row>
    <row r="4618" spans="1:4" x14ac:dyDescent="0.35">
      <c r="A4618" t="s">
        <v>7628</v>
      </c>
      <c r="B4618" s="8" t="s">
        <v>3364</v>
      </c>
      <c r="C4618" t="s">
        <v>6596</v>
      </c>
      <c r="D4618" s="8" t="s">
        <v>6597</v>
      </c>
    </row>
    <row r="4619" spans="1:4" x14ac:dyDescent="0.35">
      <c r="A4619" t="s">
        <v>7629</v>
      </c>
      <c r="B4619" s="8" t="s">
        <v>3365</v>
      </c>
      <c r="C4619" t="s">
        <v>6211</v>
      </c>
      <c r="D4619" s="8" t="s">
        <v>6212</v>
      </c>
    </row>
    <row r="4620" spans="1:4" x14ac:dyDescent="0.35">
      <c r="A4620" t="s">
        <v>7629</v>
      </c>
      <c r="B4620" s="8" t="s">
        <v>3365</v>
      </c>
      <c r="C4620" t="s">
        <v>6360</v>
      </c>
      <c r="D4620" s="8" t="s">
        <v>6361</v>
      </c>
    </row>
    <row r="4621" spans="1:4" x14ac:dyDescent="0.35">
      <c r="A4621" t="s">
        <v>7630</v>
      </c>
      <c r="B4621" s="8" t="s">
        <v>3366</v>
      </c>
      <c r="C4621" t="s">
        <v>6211</v>
      </c>
      <c r="D4621" s="8" t="s">
        <v>6212</v>
      </c>
    </row>
    <row r="4622" spans="1:4" x14ac:dyDescent="0.35">
      <c r="A4622" t="s">
        <v>7630</v>
      </c>
      <c r="B4622" s="8" t="s">
        <v>3366</v>
      </c>
      <c r="C4622" t="s">
        <v>6483</v>
      </c>
      <c r="D4622" s="8" t="s">
        <v>6484</v>
      </c>
    </row>
    <row r="4623" spans="1:4" x14ac:dyDescent="0.35">
      <c r="A4623" t="s">
        <v>3367</v>
      </c>
      <c r="B4623" s="8" t="s">
        <v>3368</v>
      </c>
      <c r="C4623" t="s">
        <v>7631</v>
      </c>
      <c r="D4623" s="8" t="s">
        <v>7632</v>
      </c>
    </row>
    <row r="4624" spans="1:4" x14ac:dyDescent="0.35">
      <c r="A4624" t="s">
        <v>3369</v>
      </c>
      <c r="B4624" s="8" t="s">
        <v>3370</v>
      </c>
      <c r="C4624" t="s">
        <v>7633</v>
      </c>
      <c r="D4624" s="8" t="s">
        <v>7634</v>
      </c>
    </row>
    <row r="4625" spans="1:4" x14ac:dyDescent="0.35">
      <c r="A4625" t="s">
        <v>3369</v>
      </c>
      <c r="B4625" s="8" t="s">
        <v>3370</v>
      </c>
      <c r="C4625" t="s">
        <v>7631</v>
      </c>
      <c r="D4625" s="8" t="s">
        <v>7632</v>
      </c>
    </row>
    <row r="4626" spans="1:4" x14ac:dyDescent="0.35">
      <c r="A4626" t="s">
        <v>3371</v>
      </c>
      <c r="B4626" s="8" t="s">
        <v>3372</v>
      </c>
      <c r="C4626" t="s">
        <v>7469</v>
      </c>
      <c r="D4626" s="8" t="s">
        <v>7470</v>
      </c>
    </row>
    <row r="4627" spans="1:4" x14ac:dyDescent="0.35">
      <c r="A4627" t="s">
        <v>3373</v>
      </c>
      <c r="B4627" s="8" t="s">
        <v>3374</v>
      </c>
      <c r="C4627" t="s">
        <v>7631</v>
      </c>
      <c r="D4627" s="8" t="s">
        <v>7632</v>
      </c>
    </row>
    <row r="4628" spans="1:4" x14ac:dyDescent="0.35">
      <c r="A4628" t="s">
        <v>3375</v>
      </c>
      <c r="B4628" s="8" t="s">
        <v>3376</v>
      </c>
      <c r="C4628" t="s">
        <v>7631</v>
      </c>
      <c r="D4628" s="8" t="s">
        <v>7632</v>
      </c>
    </row>
    <row r="4629" spans="1:4" x14ac:dyDescent="0.35">
      <c r="A4629" t="s">
        <v>3377</v>
      </c>
      <c r="B4629" s="8" t="s">
        <v>3378</v>
      </c>
      <c r="C4629" t="s">
        <v>7631</v>
      </c>
      <c r="D4629" s="8" t="s">
        <v>7632</v>
      </c>
    </row>
    <row r="4630" spans="1:4" x14ac:dyDescent="0.35">
      <c r="A4630" t="s">
        <v>3379</v>
      </c>
      <c r="B4630" s="8" t="s">
        <v>3381</v>
      </c>
      <c r="C4630" t="s">
        <v>7631</v>
      </c>
      <c r="D4630" s="8" t="s">
        <v>7632</v>
      </c>
    </row>
    <row r="4631" spans="1:4" x14ac:dyDescent="0.35">
      <c r="A4631" t="s">
        <v>3382</v>
      </c>
      <c r="B4631" s="8" t="s">
        <v>3383</v>
      </c>
      <c r="C4631" t="s">
        <v>7631</v>
      </c>
      <c r="D4631" s="8" t="s">
        <v>7632</v>
      </c>
    </row>
    <row r="4632" spans="1:4" x14ac:dyDescent="0.35">
      <c r="A4632" t="s">
        <v>3384</v>
      </c>
      <c r="B4632" s="8" t="s">
        <v>3385</v>
      </c>
      <c r="C4632" t="s">
        <v>7631</v>
      </c>
      <c r="D4632" s="8" t="s">
        <v>7632</v>
      </c>
    </row>
    <row r="4633" spans="1:4" x14ac:dyDescent="0.35">
      <c r="A4633" t="s">
        <v>3386</v>
      </c>
      <c r="B4633" s="8" t="s">
        <v>3387</v>
      </c>
      <c r="C4633" t="s">
        <v>7631</v>
      </c>
      <c r="D4633" s="8" t="s">
        <v>7632</v>
      </c>
    </row>
    <row r="4634" spans="1:4" x14ac:dyDescent="0.35">
      <c r="A4634" t="s">
        <v>3388</v>
      </c>
      <c r="B4634" s="8" t="s">
        <v>3389</v>
      </c>
      <c r="C4634" t="s">
        <v>6194</v>
      </c>
      <c r="D4634" s="8" t="s">
        <v>6195</v>
      </c>
    </row>
    <row r="4635" spans="1:4" x14ac:dyDescent="0.35">
      <c r="A4635" t="s">
        <v>3388</v>
      </c>
      <c r="B4635" s="8" t="s">
        <v>3389</v>
      </c>
      <c r="C4635" t="s">
        <v>7635</v>
      </c>
      <c r="D4635" s="8" t="s">
        <v>7636</v>
      </c>
    </row>
    <row r="4636" spans="1:4" x14ac:dyDescent="0.35">
      <c r="A4636" t="s">
        <v>3390</v>
      </c>
      <c r="B4636" s="8" t="s">
        <v>3391</v>
      </c>
      <c r="C4636" t="s">
        <v>6194</v>
      </c>
      <c r="D4636" s="8" t="s">
        <v>6195</v>
      </c>
    </row>
    <row r="4637" spans="1:4" x14ac:dyDescent="0.35">
      <c r="A4637" t="s">
        <v>3390</v>
      </c>
      <c r="B4637" s="8" t="s">
        <v>3391</v>
      </c>
      <c r="C4637" t="s">
        <v>7635</v>
      </c>
      <c r="D4637" s="8" t="s">
        <v>7636</v>
      </c>
    </row>
    <row r="4638" spans="1:4" x14ac:dyDescent="0.35">
      <c r="A4638" t="s">
        <v>3392</v>
      </c>
      <c r="B4638" s="8" t="s">
        <v>3393</v>
      </c>
      <c r="C4638" t="s">
        <v>6194</v>
      </c>
      <c r="D4638" s="8" t="s">
        <v>6195</v>
      </c>
    </row>
    <row r="4639" spans="1:4" x14ac:dyDescent="0.35">
      <c r="A4639" t="s">
        <v>3392</v>
      </c>
      <c r="B4639" s="8" t="s">
        <v>3393</v>
      </c>
      <c r="C4639" t="s">
        <v>7635</v>
      </c>
      <c r="D4639" s="8" t="s">
        <v>7636</v>
      </c>
    </row>
    <row r="4640" spans="1:4" x14ac:dyDescent="0.35">
      <c r="A4640" t="s">
        <v>3394</v>
      </c>
      <c r="B4640" s="8" t="s">
        <v>3395</v>
      </c>
      <c r="C4640" t="s">
        <v>6194</v>
      </c>
      <c r="D4640" s="8" t="s">
        <v>6195</v>
      </c>
    </row>
    <row r="4641" spans="1:4" x14ac:dyDescent="0.35">
      <c r="A4641" t="s">
        <v>3394</v>
      </c>
      <c r="B4641" s="8" t="s">
        <v>3395</v>
      </c>
      <c r="C4641" t="s">
        <v>7635</v>
      </c>
      <c r="D4641" s="8" t="s">
        <v>7636</v>
      </c>
    </row>
    <row r="4642" spans="1:4" x14ac:dyDescent="0.35">
      <c r="A4642" t="s">
        <v>3396</v>
      </c>
      <c r="B4642" s="8" t="s">
        <v>3397</v>
      </c>
      <c r="C4642" t="s">
        <v>7595</v>
      </c>
      <c r="D4642" s="8" t="s">
        <v>7596</v>
      </c>
    </row>
    <row r="4643" spans="1:4" x14ac:dyDescent="0.35">
      <c r="A4643" t="s">
        <v>3398</v>
      </c>
      <c r="B4643" s="8" t="s">
        <v>3399</v>
      </c>
      <c r="C4643" t="s">
        <v>6586</v>
      </c>
      <c r="D4643" s="8" t="s">
        <v>6587</v>
      </c>
    </row>
    <row r="4644" spans="1:4" x14ac:dyDescent="0.35">
      <c r="A4644" t="s">
        <v>3400</v>
      </c>
      <c r="B4644" s="8" t="s">
        <v>3401</v>
      </c>
      <c r="C4644" t="s">
        <v>6194</v>
      </c>
      <c r="D4644" s="8" t="s">
        <v>6195</v>
      </c>
    </row>
    <row r="4645" spans="1:4" x14ac:dyDescent="0.35">
      <c r="A4645" t="s">
        <v>3402</v>
      </c>
      <c r="B4645" s="8" t="s">
        <v>3403</v>
      </c>
      <c r="C4645" t="s">
        <v>6163</v>
      </c>
      <c r="D4645" s="8" t="s">
        <v>6164</v>
      </c>
    </row>
    <row r="4646" spans="1:4" x14ac:dyDescent="0.35">
      <c r="A4646" t="s">
        <v>3404</v>
      </c>
      <c r="B4646" s="8" t="s">
        <v>3405</v>
      </c>
      <c r="C4646" t="s">
        <v>7631</v>
      </c>
      <c r="D4646" s="8" t="s">
        <v>7632</v>
      </c>
    </row>
    <row r="4647" spans="1:4" x14ac:dyDescent="0.35">
      <c r="A4647" t="s">
        <v>3406</v>
      </c>
      <c r="B4647" s="8" t="s">
        <v>3407</v>
      </c>
      <c r="C4647" t="s">
        <v>7631</v>
      </c>
      <c r="D4647" s="8" t="s">
        <v>7632</v>
      </c>
    </row>
    <row r="4648" spans="1:4" x14ac:dyDescent="0.35">
      <c r="A4648" t="s">
        <v>3406</v>
      </c>
      <c r="B4648" s="8" t="s">
        <v>3407</v>
      </c>
      <c r="C4648" t="s">
        <v>7469</v>
      </c>
      <c r="D4648" s="8" t="s">
        <v>7470</v>
      </c>
    </row>
    <row r="4649" spans="1:4" x14ac:dyDescent="0.35">
      <c r="A4649" t="s">
        <v>3408</v>
      </c>
      <c r="B4649" s="8" t="s">
        <v>3409</v>
      </c>
      <c r="C4649" t="s">
        <v>7631</v>
      </c>
      <c r="D4649" s="8" t="s">
        <v>7632</v>
      </c>
    </row>
    <row r="4650" spans="1:4" x14ac:dyDescent="0.35">
      <c r="A4650" t="s">
        <v>3410</v>
      </c>
      <c r="B4650" s="8" t="s">
        <v>3411</v>
      </c>
      <c r="C4650" t="s">
        <v>7631</v>
      </c>
      <c r="D4650" s="8" t="s">
        <v>7632</v>
      </c>
    </row>
    <row r="4651" spans="1:4" x14ac:dyDescent="0.35">
      <c r="A4651" t="s">
        <v>3412</v>
      </c>
      <c r="B4651" s="8" t="s">
        <v>3413</v>
      </c>
      <c r="C4651" t="s">
        <v>7631</v>
      </c>
      <c r="D4651" s="8" t="s">
        <v>7632</v>
      </c>
    </row>
    <row r="4652" spans="1:4" x14ac:dyDescent="0.35">
      <c r="A4652" s="1" t="s">
        <v>3414</v>
      </c>
      <c r="B4652" s="9" t="s">
        <v>3415</v>
      </c>
      <c r="C4652" s="1" t="s">
        <v>7625</v>
      </c>
      <c r="D4652" s="9" t="s">
        <v>7626</v>
      </c>
    </row>
    <row r="4653" spans="1:4" x14ac:dyDescent="0.35">
      <c r="A4653" s="1" t="s">
        <v>3414</v>
      </c>
      <c r="B4653" s="9" t="s">
        <v>3415</v>
      </c>
      <c r="C4653" s="1" t="s">
        <v>7637</v>
      </c>
      <c r="D4653" s="9" t="s">
        <v>7638</v>
      </c>
    </row>
    <row r="4654" spans="1:4" x14ac:dyDescent="0.35">
      <c r="A4654" t="s">
        <v>3416</v>
      </c>
      <c r="B4654" s="8" t="s">
        <v>3417</v>
      </c>
      <c r="C4654" t="s">
        <v>6211</v>
      </c>
      <c r="D4654" s="8" t="s">
        <v>6212</v>
      </c>
    </row>
    <row r="4655" spans="1:4" x14ac:dyDescent="0.35">
      <c r="A4655" t="s">
        <v>3416</v>
      </c>
      <c r="B4655" s="8" t="s">
        <v>3417</v>
      </c>
      <c r="C4655" t="s">
        <v>7637</v>
      </c>
      <c r="D4655" s="8" t="s">
        <v>7638</v>
      </c>
    </row>
    <row r="4656" spans="1:4" x14ac:dyDescent="0.35">
      <c r="A4656" t="s">
        <v>3416</v>
      </c>
      <c r="B4656" s="8" t="s">
        <v>3417</v>
      </c>
      <c r="C4656" t="s">
        <v>7639</v>
      </c>
      <c r="D4656" s="8" t="s">
        <v>7640</v>
      </c>
    </row>
    <row r="4657" spans="1:4" x14ac:dyDescent="0.35">
      <c r="A4657" t="s">
        <v>3418</v>
      </c>
      <c r="B4657" s="8" t="s">
        <v>3419</v>
      </c>
      <c r="C4657" t="s">
        <v>7625</v>
      </c>
      <c r="D4657" s="8" t="s">
        <v>7626</v>
      </c>
    </row>
    <row r="4658" spans="1:4" x14ac:dyDescent="0.35">
      <c r="A4658" t="s">
        <v>3418</v>
      </c>
      <c r="B4658" s="8" t="s">
        <v>3419</v>
      </c>
      <c r="C4658" t="s">
        <v>7637</v>
      </c>
      <c r="D4658" s="8" t="s">
        <v>7638</v>
      </c>
    </row>
    <row r="4659" spans="1:4" x14ac:dyDescent="0.35">
      <c r="A4659" t="s">
        <v>3418</v>
      </c>
      <c r="B4659" s="8" t="s">
        <v>3419</v>
      </c>
      <c r="C4659" t="s">
        <v>7639</v>
      </c>
      <c r="D4659" s="8" t="s">
        <v>7640</v>
      </c>
    </row>
    <row r="4660" spans="1:4" x14ac:dyDescent="0.35">
      <c r="A4660" t="s">
        <v>3420</v>
      </c>
      <c r="B4660" s="8" t="s">
        <v>3421</v>
      </c>
      <c r="C4660" t="s">
        <v>7625</v>
      </c>
      <c r="D4660" s="8" t="s">
        <v>7626</v>
      </c>
    </row>
    <row r="4661" spans="1:4" x14ac:dyDescent="0.35">
      <c r="A4661" t="s">
        <v>3420</v>
      </c>
      <c r="B4661" s="8" t="s">
        <v>3421</v>
      </c>
      <c r="C4661" t="s">
        <v>7641</v>
      </c>
      <c r="D4661" s="8" t="s">
        <v>7642</v>
      </c>
    </row>
    <row r="4662" spans="1:4" x14ac:dyDescent="0.35">
      <c r="A4662" t="s">
        <v>3422</v>
      </c>
      <c r="B4662" s="8" t="s">
        <v>3423</v>
      </c>
      <c r="C4662" t="s">
        <v>7625</v>
      </c>
      <c r="D4662" s="8" t="s">
        <v>7626</v>
      </c>
    </row>
    <row r="4663" spans="1:4" x14ac:dyDescent="0.35">
      <c r="A4663" t="s">
        <v>3422</v>
      </c>
      <c r="B4663" s="8" t="s">
        <v>3423</v>
      </c>
      <c r="C4663" t="s">
        <v>7637</v>
      </c>
      <c r="D4663" s="8" t="s">
        <v>7638</v>
      </c>
    </row>
    <row r="4664" spans="1:4" x14ac:dyDescent="0.35">
      <c r="A4664" t="s">
        <v>3422</v>
      </c>
      <c r="B4664" s="8" t="s">
        <v>3423</v>
      </c>
      <c r="C4664" t="s">
        <v>7639</v>
      </c>
      <c r="D4664" s="8" t="s">
        <v>7640</v>
      </c>
    </row>
    <row r="4665" spans="1:4" x14ac:dyDescent="0.35">
      <c r="A4665" t="s">
        <v>3424</v>
      </c>
      <c r="B4665" s="8" t="s">
        <v>3425</v>
      </c>
      <c r="C4665" t="s">
        <v>7625</v>
      </c>
      <c r="D4665" s="8" t="s">
        <v>7626</v>
      </c>
    </row>
    <row r="4666" spans="1:4" x14ac:dyDescent="0.35">
      <c r="A4666" t="s">
        <v>3424</v>
      </c>
      <c r="B4666" s="8" t="s">
        <v>3425</v>
      </c>
      <c r="C4666" t="s">
        <v>7637</v>
      </c>
      <c r="D4666" s="8" t="s">
        <v>7638</v>
      </c>
    </row>
    <row r="4667" spans="1:4" x14ac:dyDescent="0.35">
      <c r="A4667" t="s">
        <v>3424</v>
      </c>
      <c r="B4667" s="8" t="s">
        <v>3425</v>
      </c>
      <c r="C4667" t="s">
        <v>7639</v>
      </c>
      <c r="D4667" s="8" t="s">
        <v>7640</v>
      </c>
    </row>
    <row r="4668" spans="1:4" x14ac:dyDescent="0.35">
      <c r="A4668" t="s">
        <v>3426</v>
      </c>
      <c r="B4668" s="8" t="s">
        <v>3427</v>
      </c>
      <c r="C4668" t="s">
        <v>7625</v>
      </c>
      <c r="D4668" s="8" t="s">
        <v>7626</v>
      </c>
    </row>
    <row r="4669" spans="1:4" x14ac:dyDescent="0.35">
      <c r="A4669" t="s">
        <v>3426</v>
      </c>
      <c r="B4669" s="8" t="s">
        <v>3427</v>
      </c>
      <c r="C4669" t="s">
        <v>7643</v>
      </c>
      <c r="D4669" s="8" t="s">
        <v>7644</v>
      </c>
    </row>
    <row r="4670" spans="1:4" x14ac:dyDescent="0.35">
      <c r="A4670" t="s">
        <v>3428</v>
      </c>
      <c r="B4670" s="8" t="s">
        <v>3429</v>
      </c>
      <c r="C4670" t="s">
        <v>7625</v>
      </c>
      <c r="D4670" s="8" t="s">
        <v>7626</v>
      </c>
    </row>
    <row r="4671" spans="1:4" x14ac:dyDescent="0.35">
      <c r="A4671" t="s">
        <v>3428</v>
      </c>
      <c r="B4671" s="8" t="s">
        <v>3429</v>
      </c>
      <c r="C4671" t="s">
        <v>7637</v>
      </c>
      <c r="D4671" s="8" t="s">
        <v>7638</v>
      </c>
    </row>
    <row r="4672" spans="1:4" x14ac:dyDescent="0.35">
      <c r="A4672" t="s">
        <v>3428</v>
      </c>
      <c r="B4672" s="8" t="s">
        <v>3429</v>
      </c>
      <c r="C4672" t="s">
        <v>7639</v>
      </c>
      <c r="D4672" s="8" t="s">
        <v>7640</v>
      </c>
    </row>
    <row r="4673" spans="1:4" x14ac:dyDescent="0.35">
      <c r="A4673" t="s">
        <v>3430</v>
      </c>
      <c r="B4673" s="8" t="s">
        <v>3431</v>
      </c>
      <c r="C4673" t="s">
        <v>7625</v>
      </c>
      <c r="D4673" s="8" t="s">
        <v>7626</v>
      </c>
    </row>
    <row r="4674" spans="1:4" x14ac:dyDescent="0.35">
      <c r="A4674" t="s">
        <v>3430</v>
      </c>
      <c r="B4674" s="8" t="s">
        <v>3431</v>
      </c>
      <c r="C4674" t="s">
        <v>7637</v>
      </c>
      <c r="D4674" s="8" t="s">
        <v>7638</v>
      </c>
    </row>
    <row r="4675" spans="1:4" x14ac:dyDescent="0.35">
      <c r="A4675" t="s">
        <v>3430</v>
      </c>
      <c r="B4675" s="8" t="s">
        <v>3431</v>
      </c>
      <c r="C4675" t="s">
        <v>7639</v>
      </c>
      <c r="D4675" s="8" t="s">
        <v>7640</v>
      </c>
    </row>
    <row r="4676" spans="1:4" x14ac:dyDescent="0.35">
      <c r="A4676" t="s">
        <v>3432</v>
      </c>
      <c r="B4676" s="8" t="s">
        <v>3433</v>
      </c>
      <c r="C4676" t="s">
        <v>7625</v>
      </c>
      <c r="D4676" s="8" t="s">
        <v>7626</v>
      </c>
    </row>
    <row r="4677" spans="1:4" x14ac:dyDescent="0.35">
      <c r="A4677" t="s">
        <v>3432</v>
      </c>
      <c r="B4677" s="8" t="s">
        <v>3433</v>
      </c>
      <c r="C4677" t="s">
        <v>7637</v>
      </c>
      <c r="D4677" s="8" t="s">
        <v>7638</v>
      </c>
    </row>
    <row r="4678" spans="1:4" x14ac:dyDescent="0.35">
      <c r="A4678" t="s">
        <v>3432</v>
      </c>
      <c r="B4678" s="8" t="s">
        <v>3433</v>
      </c>
      <c r="C4678" t="s">
        <v>7639</v>
      </c>
      <c r="D4678" s="8" t="s">
        <v>7640</v>
      </c>
    </row>
    <row r="4679" spans="1:4" x14ac:dyDescent="0.35">
      <c r="A4679" t="s">
        <v>3434</v>
      </c>
      <c r="B4679" s="8" t="s">
        <v>3435</v>
      </c>
      <c r="C4679" t="s">
        <v>7625</v>
      </c>
      <c r="D4679" s="8" t="s">
        <v>7626</v>
      </c>
    </row>
    <row r="4680" spans="1:4" x14ac:dyDescent="0.35">
      <c r="A4680" t="s">
        <v>3434</v>
      </c>
      <c r="B4680" s="8" t="s">
        <v>3435</v>
      </c>
      <c r="C4680" t="s">
        <v>7637</v>
      </c>
      <c r="D4680" s="8" t="s">
        <v>7638</v>
      </c>
    </row>
    <row r="4681" spans="1:4" x14ac:dyDescent="0.35">
      <c r="A4681" t="s">
        <v>3434</v>
      </c>
      <c r="B4681" s="8" t="s">
        <v>3435</v>
      </c>
      <c r="C4681" t="s">
        <v>7639</v>
      </c>
      <c r="D4681" s="8" t="s">
        <v>7640</v>
      </c>
    </row>
    <row r="4682" spans="1:4" x14ac:dyDescent="0.35">
      <c r="A4682" t="s">
        <v>3436</v>
      </c>
      <c r="B4682" s="8" t="s">
        <v>3437</v>
      </c>
      <c r="C4682" t="s">
        <v>7625</v>
      </c>
      <c r="D4682" s="8" t="s">
        <v>7626</v>
      </c>
    </row>
    <row r="4683" spans="1:4" x14ac:dyDescent="0.35">
      <c r="A4683" t="s">
        <v>3436</v>
      </c>
      <c r="B4683" s="8" t="s">
        <v>3437</v>
      </c>
      <c r="C4683" t="s">
        <v>7637</v>
      </c>
      <c r="D4683" s="8" t="s">
        <v>7638</v>
      </c>
    </row>
    <row r="4684" spans="1:4" x14ac:dyDescent="0.35">
      <c r="A4684" t="s">
        <v>3436</v>
      </c>
      <c r="B4684" s="8" t="s">
        <v>3437</v>
      </c>
      <c r="C4684" t="s">
        <v>7639</v>
      </c>
      <c r="D4684" s="8" t="s">
        <v>7640</v>
      </c>
    </row>
    <row r="4685" spans="1:4" x14ac:dyDescent="0.35">
      <c r="A4685" t="s">
        <v>3438</v>
      </c>
      <c r="B4685" s="8" t="s">
        <v>3439</v>
      </c>
      <c r="C4685" t="s">
        <v>7625</v>
      </c>
      <c r="D4685" s="8" t="s">
        <v>7626</v>
      </c>
    </row>
    <row r="4686" spans="1:4" x14ac:dyDescent="0.35">
      <c r="A4686" t="s">
        <v>3438</v>
      </c>
      <c r="B4686" s="8" t="s">
        <v>3439</v>
      </c>
      <c r="C4686" t="s">
        <v>7637</v>
      </c>
      <c r="D4686" s="8" t="s">
        <v>7638</v>
      </c>
    </row>
    <row r="4687" spans="1:4" x14ac:dyDescent="0.35">
      <c r="A4687" t="s">
        <v>3438</v>
      </c>
      <c r="B4687" s="8" t="s">
        <v>3439</v>
      </c>
      <c r="C4687" t="s">
        <v>7639</v>
      </c>
      <c r="D4687" s="8" t="s">
        <v>7640</v>
      </c>
    </row>
    <row r="4688" spans="1:4" x14ac:dyDescent="0.35">
      <c r="A4688" t="s">
        <v>3440</v>
      </c>
      <c r="B4688" s="8" t="s">
        <v>3441</v>
      </c>
      <c r="C4688" t="s">
        <v>7625</v>
      </c>
      <c r="D4688" s="8" t="s">
        <v>7626</v>
      </c>
    </row>
    <row r="4689" spans="1:4" x14ac:dyDescent="0.35">
      <c r="A4689" t="s">
        <v>3440</v>
      </c>
      <c r="B4689" s="8" t="s">
        <v>3441</v>
      </c>
      <c r="C4689" t="s">
        <v>7637</v>
      </c>
      <c r="D4689" s="8" t="s">
        <v>7638</v>
      </c>
    </row>
    <row r="4690" spans="1:4" x14ac:dyDescent="0.35">
      <c r="A4690" t="s">
        <v>3440</v>
      </c>
      <c r="B4690" s="8" t="s">
        <v>3441</v>
      </c>
      <c r="C4690" t="s">
        <v>7639</v>
      </c>
      <c r="D4690" s="8" t="s">
        <v>7640</v>
      </c>
    </row>
    <row r="4691" spans="1:4" x14ac:dyDescent="0.35">
      <c r="A4691" t="s">
        <v>3442</v>
      </c>
      <c r="B4691" s="8" t="s">
        <v>3443</v>
      </c>
      <c r="C4691" t="s">
        <v>7625</v>
      </c>
      <c r="D4691" s="8" t="s">
        <v>7626</v>
      </c>
    </row>
    <row r="4692" spans="1:4" x14ac:dyDescent="0.35">
      <c r="A4692" t="s">
        <v>3442</v>
      </c>
      <c r="B4692" s="8" t="s">
        <v>3443</v>
      </c>
      <c r="C4692" t="s">
        <v>7637</v>
      </c>
      <c r="D4692" s="8" t="s">
        <v>7638</v>
      </c>
    </row>
    <row r="4693" spans="1:4" x14ac:dyDescent="0.35">
      <c r="A4693" t="s">
        <v>3442</v>
      </c>
      <c r="B4693" s="8" t="s">
        <v>3443</v>
      </c>
      <c r="C4693" t="s">
        <v>7639</v>
      </c>
      <c r="D4693" s="8" t="s">
        <v>7640</v>
      </c>
    </row>
    <row r="4694" spans="1:4" x14ac:dyDescent="0.35">
      <c r="A4694" t="s">
        <v>3444</v>
      </c>
      <c r="B4694" s="8" t="s">
        <v>3445</v>
      </c>
      <c r="C4694" t="s">
        <v>7625</v>
      </c>
      <c r="D4694" s="8" t="s">
        <v>7626</v>
      </c>
    </row>
    <row r="4695" spans="1:4" x14ac:dyDescent="0.35">
      <c r="A4695" t="s">
        <v>3444</v>
      </c>
      <c r="B4695" s="8" t="s">
        <v>3445</v>
      </c>
      <c r="C4695" t="s">
        <v>7637</v>
      </c>
      <c r="D4695" s="8" t="s">
        <v>7638</v>
      </c>
    </row>
    <row r="4696" spans="1:4" x14ac:dyDescent="0.35">
      <c r="A4696" t="s">
        <v>3444</v>
      </c>
      <c r="B4696" s="8" t="s">
        <v>3445</v>
      </c>
      <c r="C4696" t="s">
        <v>7639</v>
      </c>
      <c r="D4696" s="8" t="s">
        <v>7640</v>
      </c>
    </row>
    <row r="4697" spans="1:4" x14ac:dyDescent="0.35">
      <c r="A4697" t="s">
        <v>3448</v>
      </c>
      <c r="B4697" s="8" t="s">
        <v>3449</v>
      </c>
      <c r="C4697" t="s">
        <v>6211</v>
      </c>
      <c r="D4697" s="8" t="s">
        <v>6212</v>
      </c>
    </row>
    <row r="4698" spans="1:4" x14ac:dyDescent="0.35">
      <c r="A4698" t="s">
        <v>3448</v>
      </c>
      <c r="B4698" s="8" t="s">
        <v>3449</v>
      </c>
      <c r="C4698" t="s">
        <v>7625</v>
      </c>
      <c r="D4698" s="8" t="s">
        <v>7626</v>
      </c>
    </row>
    <row r="4699" spans="1:4" x14ac:dyDescent="0.35">
      <c r="A4699" t="s">
        <v>3448</v>
      </c>
      <c r="B4699" s="8" t="s">
        <v>3449</v>
      </c>
      <c r="C4699" t="s">
        <v>7637</v>
      </c>
      <c r="D4699" s="8" t="s">
        <v>7638</v>
      </c>
    </row>
    <row r="4700" spans="1:4" x14ac:dyDescent="0.35">
      <c r="A4700" t="s">
        <v>3448</v>
      </c>
      <c r="B4700" s="8" t="s">
        <v>3449</v>
      </c>
      <c r="C4700" t="s">
        <v>7639</v>
      </c>
      <c r="D4700" s="8" t="s">
        <v>7640</v>
      </c>
    </row>
    <row r="4701" spans="1:4" x14ac:dyDescent="0.35">
      <c r="A4701" t="s">
        <v>3450</v>
      </c>
      <c r="B4701" s="8" t="s">
        <v>3451</v>
      </c>
      <c r="C4701" t="s">
        <v>7625</v>
      </c>
      <c r="D4701" s="8" t="s">
        <v>7626</v>
      </c>
    </row>
    <row r="4702" spans="1:4" x14ac:dyDescent="0.35">
      <c r="A4702" t="s">
        <v>3450</v>
      </c>
      <c r="B4702" s="8" t="s">
        <v>3451</v>
      </c>
      <c r="C4702" t="s">
        <v>7637</v>
      </c>
      <c r="D4702" s="8" t="s">
        <v>7638</v>
      </c>
    </row>
    <row r="4703" spans="1:4" x14ac:dyDescent="0.35">
      <c r="A4703" t="s">
        <v>3450</v>
      </c>
      <c r="B4703" s="8" t="s">
        <v>3451</v>
      </c>
      <c r="C4703" t="s">
        <v>7639</v>
      </c>
      <c r="D4703" s="8" t="s">
        <v>7640</v>
      </c>
    </row>
    <row r="4704" spans="1:4" x14ac:dyDescent="0.35">
      <c r="A4704" t="s">
        <v>3452</v>
      </c>
      <c r="B4704" s="8" t="s">
        <v>3453</v>
      </c>
      <c r="C4704" t="s">
        <v>6211</v>
      </c>
      <c r="D4704" s="8" t="s">
        <v>6212</v>
      </c>
    </row>
    <row r="4705" spans="1:4" x14ac:dyDescent="0.35">
      <c r="A4705" t="s">
        <v>3452</v>
      </c>
      <c r="B4705" s="8" t="s">
        <v>3453</v>
      </c>
      <c r="C4705" t="s">
        <v>7625</v>
      </c>
      <c r="D4705" s="8" t="s">
        <v>7626</v>
      </c>
    </row>
    <row r="4706" spans="1:4" x14ac:dyDescent="0.35">
      <c r="A4706" t="s">
        <v>3452</v>
      </c>
      <c r="B4706" s="8" t="s">
        <v>3453</v>
      </c>
      <c r="C4706" t="s">
        <v>7637</v>
      </c>
      <c r="D4706" s="8" t="s">
        <v>7638</v>
      </c>
    </row>
    <row r="4707" spans="1:4" x14ac:dyDescent="0.35">
      <c r="A4707" t="s">
        <v>3452</v>
      </c>
      <c r="B4707" s="8" t="s">
        <v>3453</v>
      </c>
      <c r="C4707" t="s">
        <v>7639</v>
      </c>
      <c r="D4707" s="8" t="s">
        <v>7640</v>
      </c>
    </row>
    <row r="4708" spans="1:4" x14ac:dyDescent="0.35">
      <c r="A4708" t="s">
        <v>3454</v>
      </c>
      <c r="B4708" s="8" t="s">
        <v>3455</v>
      </c>
      <c r="C4708" t="s">
        <v>7625</v>
      </c>
      <c r="D4708" s="8" t="s">
        <v>7626</v>
      </c>
    </row>
    <row r="4709" spans="1:4" x14ac:dyDescent="0.35">
      <c r="A4709" t="s">
        <v>3454</v>
      </c>
      <c r="B4709" s="8" t="s">
        <v>3455</v>
      </c>
      <c r="C4709" t="s">
        <v>7637</v>
      </c>
      <c r="D4709" s="8" t="s">
        <v>7638</v>
      </c>
    </row>
    <row r="4710" spans="1:4" x14ac:dyDescent="0.35">
      <c r="A4710" t="s">
        <v>3454</v>
      </c>
      <c r="B4710" s="8" t="s">
        <v>3455</v>
      </c>
      <c r="C4710" t="s">
        <v>7639</v>
      </c>
      <c r="D4710" s="8" t="s">
        <v>7640</v>
      </c>
    </row>
    <row r="4711" spans="1:4" x14ac:dyDescent="0.35">
      <c r="A4711" t="s">
        <v>3456</v>
      </c>
      <c r="B4711" s="8" t="s">
        <v>7645</v>
      </c>
      <c r="C4711" t="s">
        <v>7625</v>
      </c>
      <c r="D4711" s="8" t="s">
        <v>7626</v>
      </c>
    </row>
    <row r="4712" spans="1:4" x14ac:dyDescent="0.35">
      <c r="A4712" t="s">
        <v>3456</v>
      </c>
      <c r="B4712" s="8" t="s">
        <v>7645</v>
      </c>
      <c r="C4712" t="s">
        <v>7637</v>
      </c>
      <c r="D4712" s="8" t="s">
        <v>7638</v>
      </c>
    </row>
    <row r="4713" spans="1:4" x14ac:dyDescent="0.35">
      <c r="A4713" t="s">
        <v>3456</v>
      </c>
      <c r="B4713" s="8" t="s">
        <v>7645</v>
      </c>
      <c r="C4713" t="s">
        <v>7639</v>
      </c>
      <c r="D4713" s="8" t="s">
        <v>7640</v>
      </c>
    </row>
    <row r="4714" spans="1:4" x14ac:dyDescent="0.35">
      <c r="A4714" t="s">
        <v>7646</v>
      </c>
      <c r="B4714" s="8" t="s">
        <v>3458</v>
      </c>
      <c r="C4714" t="s">
        <v>7625</v>
      </c>
      <c r="D4714" s="8" t="s">
        <v>7626</v>
      </c>
    </row>
    <row r="4715" spans="1:4" x14ac:dyDescent="0.35">
      <c r="A4715" t="s">
        <v>7646</v>
      </c>
      <c r="B4715" s="8" t="s">
        <v>3458</v>
      </c>
      <c r="C4715" t="s">
        <v>7637</v>
      </c>
      <c r="D4715" s="8" t="s">
        <v>7638</v>
      </c>
    </row>
    <row r="4716" spans="1:4" x14ac:dyDescent="0.35">
      <c r="A4716" t="s">
        <v>7646</v>
      </c>
      <c r="B4716" s="8" t="s">
        <v>3458</v>
      </c>
      <c r="C4716" t="s">
        <v>7639</v>
      </c>
      <c r="D4716" s="8" t="s">
        <v>7640</v>
      </c>
    </row>
    <row r="4717" spans="1:4" ht="29" x14ac:dyDescent="0.35">
      <c r="A4717" t="s">
        <v>3459</v>
      </c>
      <c r="B4717" s="8" t="s">
        <v>3460</v>
      </c>
      <c r="C4717" t="s">
        <v>7625</v>
      </c>
      <c r="D4717" s="8" t="s">
        <v>7626</v>
      </c>
    </row>
    <row r="4718" spans="1:4" ht="29" x14ac:dyDescent="0.35">
      <c r="A4718" t="s">
        <v>3459</v>
      </c>
      <c r="B4718" s="8" t="s">
        <v>3460</v>
      </c>
      <c r="C4718" t="s">
        <v>7637</v>
      </c>
      <c r="D4718" s="8" t="s">
        <v>7638</v>
      </c>
    </row>
    <row r="4719" spans="1:4" ht="29" x14ac:dyDescent="0.35">
      <c r="A4719" t="s">
        <v>3459</v>
      </c>
      <c r="B4719" s="8" t="s">
        <v>3460</v>
      </c>
      <c r="C4719" t="s">
        <v>7639</v>
      </c>
      <c r="D4719" s="8" t="s">
        <v>7640</v>
      </c>
    </row>
    <row r="4720" spans="1:4" x14ac:dyDescent="0.35">
      <c r="A4720" t="s">
        <v>3461</v>
      </c>
      <c r="B4720" s="8" t="s">
        <v>3462</v>
      </c>
      <c r="C4720" t="s">
        <v>7647</v>
      </c>
      <c r="D4720" s="8" t="s">
        <v>7648</v>
      </c>
    </row>
    <row r="4721" spans="1:4" x14ac:dyDescent="0.35">
      <c r="A4721" t="s">
        <v>3463</v>
      </c>
      <c r="B4721" s="8" t="s">
        <v>3464</v>
      </c>
      <c r="C4721" t="s">
        <v>7612</v>
      </c>
      <c r="D4721" s="8" t="s">
        <v>7613</v>
      </c>
    </row>
    <row r="4722" spans="1:4" x14ac:dyDescent="0.35">
      <c r="A4722" t="s">
        <v>3465</v>
      </c>
      <c r="B4722" s="8" t="s">
        <v>3466</v>
      </c>
      <c r="C4722" t="s">
        <v>7647</v>
      </c>
      <c r="D4722" s="8" t="s">
        <v>7648</v>
      </c>
    </row>
    <row r="4723" spans="1:4" x14ac:dyDescent="0.35">
      <c r="A4723" t="s">
        <v>3465</v>
      </c>
      <c r="B4723" s="8" t="s">
        <v>3466</v>
      </c>
      <c r="C4723" t="s">
        <v>7612</v>
      </c>
      <c r="D4723" s="8" t="s">
        <v>7613</v>
      </c>
    </row>
    <row r="4724" spans="1:4" x14ac:dyDescent="0.35">
      <c r="A4724" t="s">
        <v>3467</v>
      </c>
      <c r="B4724" s="8" t="s">
        <v>3468</v>
      </c>
      <c r="C4724" t="s">
        <v>6163</v>
      </c>
      <c r="D4724" s="8" t="s">
        <v>6164</v>
      </c>
    </row>
    <row r="4725" spans="1:4" x14ac:dyDescent="0.35">
      <c r="A4725" t="s">
        <v>3469</v>
      </c>
      <c r="B4725" s="8" t="s">
        <v>3470</v>
      </c>
      <c r="C4725" t="s">
        <v>7082</v>
      </c>
      <c r="D4725" s="8" t="s">
        <v>7083</v>
      </c>
    </row>
    <row r="4726" spans="1:4" x14ac:dyDescent="0.35">
      <c r="A4726" t="s">
        <v>3469</v>
      </c>
      <c r="B4726" s="8" t="s">
        <v>3470</v>
      </c>
      <c r="C4726" t="s">
        <v>6216</v>
      </c>
      <c r="D4726" s="8" t="s">
        <v>6217</v>
      </c>
    </row>
    <row r="4727" spans="1:4" x14ac:dyDescent="0.35">
      <c r="A4727" t="s">
        <v>3469</v>
      </c>
      <c r="B4727" s="8" t="s">
        <v>3470</v>
      </c>
      <c r="C4727" t="s">
        <v>6762</v>
      </c>
      <c r="D4727" s="8" t="s">
        <v>6763</v>
      </c>
    </row>
    <row r="4728" spans="1:4" x14ac:dyDescent="0.35">
      <c r="A4728" t="s">
        <v>3469</v>
      </c>
      <c r="B4728" s="8" t="s">
        <v>3470</v>
      </c>
      <c r="C4728" t="s">
        <v>6218</v>
      </c>
      <c r="D4728" s="8" t="s">
        <v>6219</v>
      </c>
    </row>
    <row r="4729" spans="1:4" x14ac:dyDescent="0.35">
      <c r="A4729" t="s">
        <v>3469</v>
      </c>
      <c r="B4729" s="8" t="s">
        <v>3470</v>
      </c>
      <c r="C4729" t="s">
        <v>6740</v>
      </c>
      <c r="D4729" s="8" t="s">
        <v>6741</v>
      </c>
    </row>
    <row r="4730" spans="1:4" x14ac:dyDescent="0.35">
      <c r="A4730" t="s">
        <v>3469</v>
      </c>
      <c r="B4730" s="8" t="s">
        <v>3470</v>
      </c>
      <c r="C4730" t="s">
        <v>6658</v>
      </c>
      <c r="D4730" s="8" t="s">
        <v>6659</v>
      </c>
    </row>
    <row r="4731" spans="1:4" x14ac:dyDescent="0.35">
      <c r="A4731" t="s">
        <v>3469</v>
      </c>
      <c r="B4731" s="8" t="s">
        <v>3470</v>
      </c>
      <c r="C4731" t="s">
        <v>7086</v>
      </c>
      <c r="D4731" s="8" t="s">
        <v>7087</v>
      </c>
    </row>
    <row r="4732" spans="1:4" x14ac:dyDescent="0.35">
      <c r="A4732" t="s">
        <v>3469</v>
      </c>
      <c r="B4732" s="8" t="s">
        <v>3470</v>
      </c>
      <c r="C4732" t="s">
        <v>6731</v>
      </c>
      <c r="D4732" s="8" t="s">
        <v>6732</v>
      </c>
    </row>
    <row r="4733" spans="1:4" x14ac:dyDescent="0.35">
      <c r="A4733" t="s">
        <v>3469</v>
      </c>
      <c r="B4733" s="8" t="s">
        <v>3470</v>
      </c>
      <c r="C4733" t="s">
        <v>6247</v>
      </c>
      <c r="D4733" s="8" t="s">
        <v>6248</v>
      </c>
    </row>
    <row r="4734" spans="1:4" x14ac:dyDescent="0.35">
      <c r="A4734" t="s">
        <v>3469</v>
      </c>
      <c r="B4734" s="8" t="s">
        <v>3470</v>
      </c>
      <c r="C4734" t="s">
        <v>6902</v>
      </c>
      <c r="D4734" s="8" t="s">
        <v>6903</v>
      </c>
    </row>
    <row r="4735" spans="1:4" x14ac:dyDescent="0.35">
      <c r="A4735" t="s">
        <v>3469</v>
      </c>
      <c r="B4735" s="8" t="s">
        <v>3470</v>
      </c>
      <c r="C4735" t="s">
        <v>6457</v>
      </c>
      <c r="D4735" s="8" t="s">
        <v>6458</v>
      </c>
    </row>
    <row r="4736" spans="1:4" x14ac:dyDescent="0.35">
      <c r="A4736" t="s">
        <v>3469</v>
      </c>
      <c r="B4736" s="8" t="s">
        <v>3470</v>
      </c>
      <c r="C4736" t="s">
        <v>6243</v>
      </c>
      <c r="D4736" s="8" t="s">
        <v>6244</v>
      </c>
    </row>
    <row r="4737" spans="1:4" x14ac:dyDescent="0.35">
      <c r="A4737" t="s">
        <v>3469</v>
      </c>
      <c r="B4737" s="8" t="s">
        <v>3470</v>
      </c>
      <c r="C4737" t="s">
        <v>6650</v>
      </c>
      <c r="D4737" s="8" t="s">
        <v>6651</v>
      </c>
    </row>
    <row r="4738" spans="1:4" x14ac:dyDescent="0.35">
      <c r="A4738" t="s">
        <v>3469</v>
      </c>
      <c r="B4738" s="8" t="s">
        <v>3470</v>
      </c>
      <c r="C4738" t="s">
        <v>6435</v>
      </c>
      <c r="D4738" s="8" t="s">
        <v>6436</v>
      </c>
    </row>
    <row r="4739" spans="1:4" x14ac:dyDescent="0.35">
      <c r="A4739" t="s">
        <v>3469</v>
      </c>
      <c r="B4739" s="8" t="s">
        <v>3470</v>
      </c>
      <c r="C4739" t="s">
        <v>6535</v>
      </c>
      <c r="D4739" s="8" t="s">
        <v>6536</v>
      </c>
    </row>
    <row r="4740" spans="1:4" x14ac:dyDescent="0.35">
      <c r="A4740" t="s">
        <v>3469</v>
      </c>
      <c r="B4740" s="8" t="s">
        <v>3470</v>
      </c>
      <c r="C4740" t="s">
        <v>7431</v>
      </c>
      <c r="D4740" s="8" t="s">
        <v>7432</v>
      </c>
    </row>
    <row r="4741" spans="1:4" x14ac:dyDescent="0.35">
      <c r="A4741" t="s">
        <v>3469</v>
      </c>
      <c r="B4741" s="8" t="s">
        <v>3470</v>
      </c>
      <c r="C4741" t="s">
        <v>6572</v>
      </c>
      <c r="D4741" s="8" t="s">
        <v>6573</v>
      </c>
    </row>
    <row r="4742" spans="1:4" x14ac:dyDescent="0.35">
      <c r="A4742" t="s">
        <v>3471</v>
      </c>
      <c r="B4742" s="8" t="s">
        <v>3472</v>
      </c>
      <c r="C4742" t="s">
        <v>7082</v>
      </c>
      <c r="D4742" s="8" t="s">
        <v>7083</v>
      </c>
    </row>
    <row r="4743" spans="1:4" x14ac:dyDescent="0.35">
      <c r="A4743" t="s">
        <v>3471</v>
      </c>
      <c r="B4743" s="8" t="s">
        <v>3472</v>
      </c>
      <c r="C4743" t="s">
        <v>6216</v>
      </c>
      <c r="D4743" s="8" t="s">
        <v>6217</v>
      </c>
    </row>
    <row r="4744" spans="1:4" x14ac:dyDescent="0.35">
      <c r="A4744" t="s">
        <v>3471</v>
      </c>
      <c r="B4744" s="8" t="s">
        <v>3472</v>
      </c>
      <c r="C4744" t="s">
        <v>6762</v>
      </c>
      <c r="D4744" s="8" t="s">
        <v>6763</v>
      </c>
    </row>
    <row r="4745" spans="1:4" x14ac:dyDescent="0.35">
      <c r="A4745" t="s">
        <v>3471</v>
      </c>
      <c r="B4745" s="8" t="s">
        <v>3472</v>
      </c>
      <c r="C4745" t="s">
        <v>6218</v>
      </c>
      <c r="D4745" s="8" t="s">
        <v>6219</v>
      </c>
    </row>
    <row r="4746" spans="1:4" x14ac:dyDescent="0.35">
      <c r="A4746" t="s">
        <v>3471</v>
      </c>
      <c r="B4746" s="8" t="s">
        <v>3472</v>
      </c>
      <c r="C4746" t="s">
        <v>6740</v>
      </c>
      <c r="D4746" s="8" t="s">
        <v>6741</v>
      </c>
    </row>
    <row r="4747" spans="1:4" x14ac:dyDescent="0.35">
      <c r="A4747" t="s">
        <v>3471</v>
      </c>
      <c r="B4747" s="8" t="s">
        <v>3472</v>
      </c>
      <c r="C4747" t="s">
        <v>6658</v>
      </c>
      <c r="D4747" s="8" t="s">
        <v>6659</v>
      </c>
    </row>
    <row r="4748" spans="1:4" x14ac:dyDescent="0.35">
      <c r="A4748" t="s">
        <v>3471</v>
      </c>
      <c r="B4748" s="8" t="s">
        <v>3472</v>
      </c>
      <c r="C4748" t="s">
        <v>7086</v>
      </c>
      <c r="D4748" s="8" t="s">
        <v>7087</v>
      </c>
    </row>
    <row r="4749" spans="1:4" x14ac:dyDescent="0.35">
      <c r="A4749" t="s">
        <v>3471</v>
      </c>
      <c r="B4749" s="8" t="s">
        <v>3472</v>
      </c>
      <c r="C4749" t="s">
        <v>7649</v>
      </c>
      <c r="D4749" s="8" t="s">
        <v>7650</v>
      </c>
    </row>
    <row r="4750" spans="1:4" x14ac:dyDescent="0.35">
      <c r="A4750" t="s">
        <v>3471</v>
      </c>
      <c r="B4750" s="8" t="s">
        <v>3472</v>
      </c>
      <c r="C4750" t="s">
        <v>6352</v>
      </c>
      <c r="D4750" s="8" t="s">
        <v>6353</v>
      </c>
    </row>
    <row r="4751" spans="1:4" x14ac:dyDescent="0.35">
      <c r="A4751" t="s">
        <v>3471</v>
      </c>
      <c r="B4751" s="8" t="s">
        <v>3472</v>
      </c>
      <c r="C4751" t="s">
        <v>6354</v>
      </c>
      <c r="D4751" s="8" t="s">
        <v>6355</v>
      </c>
    </row>
    <row r="4752" spans="1:4" x14ac:dyDescent="0.35">
      <c r="A4752" t="s">
        <v>3471</v>
      </c>
      <c r="B4752" s="8" t="s">
        <v>3472</v>
      </c>
      <c r="C4752" t="s">
        <v>6731</v>
      </c>
      <c r="D4752" s="8" t="s">
        <v>6732</v>
      </c>
    </row>
    <row r="4753" spans="1:4" x14ac:dyDescent="0.35">
      <c r="A4753" t="s">
        <v>3471</v>
      </c>
      <c r="B4753" s="8" t="s">
        <v>3472</v>
      </c>
      <c r="C4753" t="s">
        <v>6247</v>
      </c>
      <c r="D4753" s="8" t="s">
        <v>6248</v>
      </c>
    </row>
    <row r="4754" spans="1:4" x14ac:dyDescent="0.35">
      <c r="A4754" t="s">
        <v>3471</v>
      </c>
      <c r="B4754" s="8" t="s">
        <v>3472</v>
      </c>
      <c r="C4754" t="s">
        <v>6902</v>
      </c>
      <c r="D4754" s="8" t="s">
        <v>6903</v>
      </c>
    </row>
    <row r="4755" spans="1:4" x14ac:dyDescent="0.35">
      <c r="A4755" t="s">
        <v>3471</v>
      </c>
      <c r="B4755" s="8" t="s">
        <v>3472</v>
      </c>
      <c r="C4755" t="s">
        <v>6457</v>
      </c>
      <c r="D4755" s="8" t="s">
        <v>6458</v>
      </c>
    </row>
    <row r="4756" spans="1:4" x14ac:dyDescent="0.35">
      <c r="A4756" t="s">
        <v>3471</v>
      </c>
      <c r="B4756" s="8" t="s">
        <v>3472</v>
      </c>
      <c r="C4756" t="s">
        <v>6243</v>
      </c>
      <c r="D4756" s="8" t="s">
        <v>6244</v>
      </c>
    </row>
    <row r="4757" spans="1:4" x14ac:dyDescent="0.35">
      <c r="A4757" t="s">
        <v>3471</v>
      </c>
      <c r="B4757" s="8" t="s">
        <v>3472</v>
      </c>
      <c r="C4757" t="s">
        <v>6650</v>
      </c>
      <c r="D4757" s="8" t="s">
        <v>6651</v>
      </c>
    </row>
    <row r="4758" spans="1:4" x14ac:dyDescent="0.35">
      <c r="A4758" t="s">
        <v>3471</v>
      </c>
      <c r="B4758" s="8" t="s">
        <v>3472</v>
      </c>
      <c r="C4758" t="s">
        <v>7041</v>
      </c>
      <c r="D4758" s="8" t="s">
        <v>7042</v>
      </c>
    </row>
    <row r="4759" spans="1:4" x14ac:dyDescent="0.35">
      <c r="A4759" t="s">
        <v>3471</v>
      </c>
      <c r="B4759" s="8" t="s">
        <v>3472</v>
      </c>
      <c r="C4759" t="s">
        <v>7651</v>
      </c>
      <c r="D4759" s="8" t="s">
        <v>7652</v>
      </c>
    </row>
    <row r="4760" spans="1:4" x14ac:dyDescent="0.35">
      <c r="A4760" t="s">
        <v>3471</v>
      </c>
      <c r="B4760" s="8" t="s">
        <v>3472</v>
      </c>
      <c r="C4760" t="s">
        <v>6435</v>
      </c>
      <c r="D4760" s="8" t="s">
        <v>6436</v>
      </c>
    </row>
    <row r="4761" spans="1:4" x14ac:dyDescent="0.35">
      <c r="A4761" t="s">
        <v>3471</v>
      </c>
      <c r="B4761" s="8" t="s">
        <v>3472</v>
      </c>
      <c r="C4761" t="s">
        <v>6535</v>
      </c>
      <c r="D4761" s="8" t="s">
        <v>6536</v>
      </c>
    </row>
    <row r="4762" spans="1:4" x14ac:dyDescent="0.35">
      <c r="A4762" t="s">
        <v>3471</v>
      </c>
      <c r="B4762" s="8" t="s">
        <v>3472</v>
      </c>
      <c r="C4762" t="s">
        <v>7653</v>
      </c>
      <c r="D4762" s="8" t="s">
        <v>7654</v>
      </c>
    </row>
    <row r="4763" spans="1:4" x14ac:dyDescent="0.35">
      <c r="A4763" t="s">
        <v>3471</v>
      </c>
      <c r="B4763" s="8" t="s">
        <v>3472</v>
      </c>
      <c r="C4763" t="s">
        <v>7655</v>
      </c>
      <c r="D4763" s="8" t="s">
        <v>7656</v>
      </c>
    </row>
    <row r="4764" spans="1:4" x14ac:dyDescent="0.35">
      <c r="A4764" t="s">
        <v>3471</v>
      </c>
      <c r="B4764" s="8" t="s">
        <v>3472</v>
      </c>
      <c r="C4764" t="s">
        <v>6572</v>
      </c>
      <c r="D4764" s="8" t="s">
        <v>6573</v>
      </c>
    </row>
    <row r="4765" spans="1:4" x14ac:dyDescent="0.35">
      <c r="A4765" t="s">
        <v>3473</v>
      </c>
      <c r="B4765" s="8" t="s">
        <v>3474</v>
      </c>
      <c r="C4765" t="s">
        <v>6218</v>
      </c>
      <c r="D4765" s="8" t="s">
        <v>6219</v>
      </c>
    </row>
    <row r="4766" spans="1:4" x14ac:dyDescent="0.35">
      <c r="A4766" t="s">
        <v>3473</v>
      </c>
      <c r="B4766" s="8" t="s">
        <v>3474</v>
      </c>
      <c r="C4766" t="s">
        <v>6740</v>
      </c>
      <c r="D4766" s="8" t="s">
        <v>6741</v>
      </c>
    </row>
    <row r="4767" spans="1:4" x14ac:dyDescent="0.35">
      <c r="A4767" t="s">
        <v>3473</v>
      </c>
      <c r="B4767" s="8" t="s">
        <v>3474</v>
      </c>
      <c r="C4767" t="s">
        <v>7657</v>
      </c>
      <c r="D4767" s="8" t="s">
        <v>7658</v>
      </c>
    </row>
    <row r="4768" spans="1:4" x14ac:dyDescent="0.35">
      <c r="A4768" t="s">
        <v>3473</v>
      </c>
      <c r="B4768" s="8" t="s">
        <v>3474</v>
      </c>
      <c r="C4768" t="s">
        <v>6362</v>
      </c>
      <c r="D4768" s="8" t="s">
        <v>6363</v>
      </c>
    </row>
    <row r="4769" spans="1:4" x14ac:dyDescent="0.35">
      <c r="A4769" t="s">
        <v>3473</v>
      </c>
      <c r="B4769" s="8" t="s">
        <v>3474</v>
      </c>
      <c r="C4769" t="s">
        <v>7659</v>
      </c>
      <c r="D4769" s="8" t="s">
        <v>7660</v>
      </c>
    </row>
    <row r="4770" spans="1:4" x14ac:dyDescent="0.35">
      <c r="A4770" t="s">
        <v>3473</v>
      </c>
      <c r="B4770" s="8" t="s">
        <v>3474</v>
      </c>
      <c r="C4770" t="s">
        <v>6572</v>
      </c>
      <c r="D4770" s="8" t="s">
        <v>6573</v>
      </c>
    </row>
    <row r="4771" spans="1:4" x14ac:dyDescent="0.35">
      <c r="A4771" t="s">
        <v>3475</v>
      </c>
      <c r="B4771" s="8" t="s">
        <v>3476</v>
      </c>
      <c r="C4771" t="s">
        <v>6658</v>
      </c>
      <c r="D4771" s="8" t="s">
        <v>6659</v>
      </c>
    </row>
    <row r="4772" spans="1:4" x14ac:dyDescent="0.35">
      <c r="A4772" t="s">
        <v>3475</v>
      </c>
      <c r="B4772" s="8" t="s">
        <v>3476</v>
      </c>
      <c r="C4772" t="s">
        <v>7086</v>
      </c>
      <c r="D4772" s="8" t="s">
        <v>7087</v>
      </c>
    </row>
    <row r="4773" spans="1:4" x14ac:dyDescent="0.35">
      <c r="A4773" t="s">
        <v>3475</v>
      </c>
      <c r="B4773" s="8" t="s">
        <v>3476</v>
      </c>
      <c r="C4773" t="s">
        <v>7651</v>
      </c>
      <c r="D4773" s="8" t="s">
        <v>7652</v>
      </c>
    </row>
    <row r="4774" spans="1:4" x14ac:dyDescent="0.35">
      <c r="A4774" t="s">
        <v>3475</v>
      </c>
      <c r="B4774" s="8" t="s">
        <v>3476</v>
      </c>
      <c r="C4774" t="s">
        <v>6572</v>
      </c>
      <c r="D4774" s="8" t="s">
        <v>6573</v>
      </c>
    </row>
    <row r="4775" spans="1:4" x14ac:dyDescent="0.35">
      <c r="A4775" t="s">
        <v>3477</v>
      </c>
      <c r="B4775" s="8" t="s">
        <v>3478</v>
      </c>
      <c r="C4775" t="s">
        <v>6218</v>
      </c>
      <c r="D4775" s="8" t="s">
        <v>6219</v>
      </c>
    </row>
    <row r="4776" spans="1:4" x14ac:dyDescent="0.35">
      <c r="A4776" t="s">
        <v>3477</v>
      </c>
      <c r="B4776" s="8" t="s">
        <v>3478</v>
      </c>
      <c r="C4776" t="s">
        <v>6133</v>
      </c>
      <c r="D4776" s="8" t="s">
        <v>6134</v>
      </c>
    </row>
    <row r="4777" spans="1:4" x14ac:dyDescent="0.35">
      <c r="A4777" t="s">
        <v>3479</v>
      </c>
      <c r="B4777" s="8" t="s">
        <v>3480</v>
      </c>
      <c r="C4777" t="s">
        <v>6740</v>
      </c>
      <c r="D4777" s="8" t="s">
        <v>6741</v>
      </c>
    </row>
    <row r="4778" spans="1:4" x14ac:dyDescent="0.35">
      <c r="A4778" t="s">
        <v>3479</v>
      </c>
      <c r="B4778" s="8" t="s">
        <v>3480</v>
      </c>
      <c r="C4778" t="s">
        <v>6394</v>
      </c>
      <c r="D4778" s="8" t="s">
        <v>6395</v>
      </c>
    </row>
    <row r="4779" spans="1:4" x14ac:dyDescent="0.35">
      <c r="A4779" t="s">
        <v>3479</v>
      </c>
      <c r="B4779" s="8" t="s">
        <v>3480</v>
      </c>
      <c r="C4779" t="s">
        <v>6658</v>
      </c>
      <c r="D4779" s="8" t="s">
        <v>6659</v>
      </c>
    </row>
    <row r="4780" spans="1:4" x14ac:dyDescent="0.35">
      <c r="A4780" t="s">
        <v>3479</v>
      </c>
      <c r="B4780" s="8" t="s">
        <v>3480</v>
      </c>
      <c r="C4780" t="s">
        <v>6731</v>
      </c>
      <c r="D4780" s="8" t="s">
        <v>6732</v>
      </c>
    </row>
    <row r="4781" spans="1:4" x14ac:dyDescent="0.35">
      <c r="A4781" t="s">
        <v>3479</v>
      </c>
      <c r="B4781" s="8" t="s">
        <v>3480</v>
      </c>
      <c r="C4781" t="s">
        <v>7651</v>
      </c>
      <c r="D4781" s="8" t="s">
        <v>7652</v>
      </c>
    </row>
    <row r="4782" spans="1:4" x14ac:dyDescent="0.35">
      <c r="A4782" t="s">
        <v>3479</v>
      </c>
      <c r="B4782" s="8" t="s">
        <v>3480</v>
      </c>
      <c r="C4782" t="s">
        <v>6572</v>
      </c>
      <c r="D4782" s="8" t="s">
        <v>6573</v>
      </c>
    </row>
    <row r="4783" spans="1:4" x14ac:dyDescent="0.35">
      <c r="A4783" t="s">
        <v>3479</v>
      </c>
      <c r="B4783" s="8" t="s">
        <v>3480</v>
      </c>
      <c r="C4783" t="s">
        <v>7127</v>
      </c>
      <c r="D4783" s="8" t="s">
        <v>7128</v>
      </c>
    </row>
    <row r="4784" spans="1:4" x14ac:dyDescent="0.35">
      <c r="A4784" t="s">
        <v>3479</v>
      </c>
      <c r="B4784" s="8" t="s">
        <v>3480</v>
      </c>
      <c r="C4784" t="s">
        <v>7661</v>
      </c>
      <c r="D4784" s="8" t="s">
        <v>7662</v>
      </c>
    </row>
    <row r="4785" spans="1:4" x14ac:dyDescent="0.35">
      <c r="A4785" t="s">
        <v>3481</v>
      </c>
      <c r="B4785" s="8" t="s">
        <v>3482</v>
      </c>
      <c r="C4785" t="s">
        <v>7082</v>
      </c>
      <c r="D4785" s="8" t="s">
        <v>7083</v>
      </c>
    </row>
    <row r="4786" spans="1:4" x14ac:dyDescent="0.35">
      <c r="A4786" t="s">
        <v>3481</v>
      </c>
      <c r="B4786" s="8" t="s">
        <v>3482</v>
      </c>
      <c r="C4786" t="s">
        <v>6216</v>
      </c>
      <c r="D4786" s="8" t="s">
        <v>6217</v>
      </c>
    </row>
    <row r="4787" spans="1:4" x14ac:dyDescent="0.35">
      <c r="A4787" t="s">
        <v>3481</v>
      </c>
      <c r="B4787" s="8" t="s">
        <v>3482</v>
      </c>
      <c r="C4787" t="s">
        <v>6321</v>
      </c>
      <c r="D4787" s="8" t="s">
        <v>6322</v>
      </c>
    </row>
    <row r="4788" spans="1:4" x14ac:dyDescent="0.35">
      <c r="A4788" t="s">
        <v>3481</v>
      </c>
      <c r="B4788" s="8" t="s">
        <v>3482</v>
      </c>
      <c r="C4788" t="s">
        <v>6528</v>
      </c>
      <c r="D4788" s="8" t="s">
        <v>6529</v>
      </c>
    </row>
    <row r="4789" spans="1:4" x14ac:dyDescent="0.35">
      <c r="A4789" t="s">
        <v>3481</v>
      </c>
      <c r="B4789" s="8" t="s">
        <v>3482</v>
      </c>
      <c r="C4789" t="s">
        <v>6211</v>
      </c>
      <c r="D4789" s="8" t="s">
        <v>6212</v>
      </c>
    </row>
    <row r="4790" spans="1:4" x14ac:dyDescent="0.35">
      <c r="A4790" t="s">
        <v>3481</v>
      </c>
      <c r="B4790" s="8" t="s">
        <v>3482</v>
      </c>
      <c r="C4790" t="s">
        <v>6902</v>
      </c>
      <c r="D4790" s="8" t="s">
        <v>6903</v>
      </c>
    </row>
    <row r="4791" spans="1:4" x14ac:dyDescent="0.35">
      <c r="A4791" t="s">
        <v>3481</v>
      </c>
      <c r="B4791" s="8" t="s">
        <v>3482</v>
      </c>
      <c r="C4791" t="s">
        <v>6243</v>
      </c>
      <c r="D4791" s="8" t="s">
        <v>6244</v>
      </c>
    </row>
    <row r="4792" spans="1:4" x14ac:dyDescent="0.35">
      <c r="A4792" t="s">
        <v>3481</v>
      </c>
      <c r="B4792" s="8" t="s">
        <v>3482</v>
      </c>
      <c r="C4792" t="s">
        <v>6866</v>
      </c>
      <c r="D4792" s="8" t="s">
        <v>6867</v>
      </c>
    </row>
    <row r="4793" spans="1:4" x14ac:dyDescent="0.35">
      <c r="A4793" t="s">
        <v>3481</v>
      </c>
      <c r="B4793" s="8" t="s">
        <v>3482</v>
      </c>
      <c r="C4793" t="s">
        <v>6572</v>
      </c>
      <c r="D4793" s="8" t="s">
        <v>6573</v>
      </c>
    </row>
    <row r="4794" spans="1:4" x14ac:dyDescent="0.35">
      <c r="A4794" t="s">
        <v>3483</v>
      </c>
      <c r="B4794" s="8" t="s">
        <v>3484</v>
      </c>
      <c r="C4794" t="s">
        <v>6218</v>
      </c>
      <c r="D4794" s="8" t="s">
        <v>6219</v>
      </c>
    </row>
    <row r="4795" spans="1:4" x14ac:dyDescent="0.35">
      <c r="A4795" t="s">
        <v>3483</v>
      </c>
      <c r="B4795" s="8" t="s">
        <v>3484</v>
      </c>
      <c r="C4795" t="s">
        <v>6133</v>
      </c>
      <c r="D4795" s="8" t="s">
        <v>6134</v>
      </c>
    </row>
    <row r="4796" spans="1:4" x14ac:dyDescent="0.35">
      <c r="A4796" t="s">
        <v>3485</v>
      </c>
      <c r="B4796" s="8" t="s">
        <v>3486</v>
      </c>
      <c r="C4796" t="s">
        <v>7655</v>
      </c>
      <c r="D4796" s="8" t="s">
        <v>7656</v>
      </c>
    </row>
    <row r="4797" spans="1:4" x14ac:dyDescent="0.35">
      <c r="A4797" t="s">
        <v>3485</v>
      </c>
      <c r="B4797" s="8" t="s">
        <v>3486</v>
      </c>
      <c r="C4797" t="s">
        <v>6174</v>
      </c>
      <c r="D4797" s="8" t="s">
        <v>6175</v>
      </c>
    </row>
    <row r="4798" spans="1:4" x14ac:dyDescent="0.35">
      <c r="A4798" t="s">
        <v>3485</v>
      </c>
      <c r="B4798" s="8" t="s">
        <v>3486</v>
      </c>
      <c r="C4798" t="s">
        <v>6133</v>
      </c>
      <c r="D4798" s="8" t="s">
        <v>6134</v>
      </c>
    </row>
    <row r="4799" spans="1:4" x14ac:dyDescent="0.35">
      <c r="A4799" t="s">
        <v>3487</v>
      </c>
      <c r="B4799" s="8" t="s">
        <v>3488</v>
      </c>
      <c r="C4799" t="s">
        <v>7086</v>
      </c>
      <c r="D4799" s="8" t="s">
        <v>7087</v>
      </c>
    </row>
    <row r="4800" spans="1:4" x14ac:dyDescent="0.35">
      <c r="A4800" t="s">
        <v>3489</v>
      </c>
      <c r="B4800" s="8" t="s">
        <v>3490</v>
      </c>
      <c r="C4800" t="s">
        <v>6211</v>
      </c>
      <c r="D4800" s="8" t="s">
        <v>6212</v>
      </c>
    </row>
    <row r="4801" spans="1:4" x14ac:dyDescent="0.35">
      <c r="A4801" t="s">
        <v>3489</v>
      </c>
      <c r="B4801" s="8" t="s">
        <v>3490</v>
      </c>
      <c r="C4801" t="s">
        <v>6644</v>
      </c>
      <c r="D4801" s="8" t="s">
        <v>6645</v>
      </c>
    </row>
    <row r="4802" spans="1:4" x14ac:dyDescent="0.35">
      <c r="A4802" t="s">
        <v>3489</v>
      </c>
      <c r="B4802" s="8" t="s">
        <v>3490</v>
      </c>
      <c r="C4802" t="s">
        <v>6243</v>
      </c>
      <c r="D4802" s="8" t="s">
        <v>6244</v>
      </c>
    </row>
    <row r="4803" spans="1:4" x14ac:dyDescent="0.35">
      <c r="A4803" t="s">
        <v>3489</v>
      </c>
      <c r="B4803" s="8" t="s">
        <v>3490</v>
      </c>
      <c r="C4803" t="s">
        <v>6572</v>
      </c>
      <c r="D4803" s="8" t="s">
        <v>6573</v>
      </c>
    </row>
    <row r="4804" spans="1:4" x14ac:dyDescent="0.35">
      <c r="A4804" t="s">
        <v>3491</v>
      </c>
      <c r="B4804" s="8" t="s">
        <v>3492</v>
      </c>
      <c r="C4804" t="s">
        <v>6243</v>
      </c>
      <c r="D4804" s="8" t="s">
        <v>6244</v>
      </c>
    </row>
    <row r="4805" spans="1:4" x14ac:dyDescent="0.35">
      <c r="A4805" t="s">
        <v>3491</v>
      </c>
      <c r="B4805" s="8" t="s">
        <v>3492</v>
      </c>
      <c r="C4805" t="s">
        <v>6435</v>
      </c>
      <c r="D4805" s="8" t="s">
        <v>6436</v>
      </c>
    </row>
    <row r="4806" spans="1:4" x14ac:dyDescent="0.35">
      <c r="A4806" t="s">
        <v>3491</v>
      </c>
      <c r="B4806" s="8" t="s">
        <v>3492</v>
      </c>
      <c r="C4806" t="s">
        <v>6572</v>
      </c>
      <c r="D4806" s="8" t="s">
        <v>6573</v>
      </c>
    </row>
    <row r="4807" spans="1:4" x14ac:dyDescent="0.35">
      <c r="A4807" t="s">
        <v>3493</v>
      </c>
      <c r="B4807" s="8" t="s">
        <v>3494</v>
      </c>
      <c r="C4807" t="s">
        <v>6216</v>
      </c>
      <c r="D4807" s="8" t="s">
        <v>6217</v>
      </c>
    </row>
    <row r="4808" spans="1:4" x14ac:dyDescent="0.35">
      <c r="A4808" t="s">
        <v>3493</v>
      </c>
      <c r="B4808" s="8" t="s">
        <v>3494</v>
      </c>
      <c r="C4808" t="s">
        <v>6457</v>
      </c>
      <c r="D4808" s="8" t="s">
        <v>6458</v>
      </c>
    </row>
    <row r="4809" spans="1:4" x14ac:dyDescent="0.35">
      <c r="A4809" t="s">
        <v>3493</v>
      </c>
      <c r="B4809" s="8" t="s">
        <v>3494</v>
      </c>
      <c r="C4809" t="s">
        <v>6572</v>
      </c>
      <c r="D4809" s="8" t="s">
        <v>6573</v>
      </c>
    </row>
    <row r="4810" spans="1:4" x14ac:dyDescent="0.35">
      <c r="A4810" t="s">
        <v>3493</v>
      </c>
      <c r="B4810" s="8" t="s">
        <v>3494</v>
      </c>
      <c r="C4810" t="s">
        <v>6174</v>
      </c>
      <c r="D4810" s="8" t="s">
        <v>6175</v>
      </c>
    </row>
    <row r="4811" spans="1:4" x14ac:dyDescent="0.35">
      <c r="A4811" t="s">
        <v>3495</v>
      </c>
      <c r="B4811" s="8" t="s">
        <v>3496</v>
      </c>
      <c r="C4811" t="s">
        <v>6321</v>
      </c>
      <c r="D4811" s="8" t="s">
        <v>6322</v>
      </c>
    </row>
    <row r="4812" spans="1:4" x14ac:dyDescent="0.35">
      <c r="A4812" t="s">
        <v>3495</v>
      </c>
      <c r="B4812" s="8" t="s">
        <v>3496</v>
      </c>
      <c r="C4812" t="s">
        <v>6352</v>
      </c>
      <c r="D4812" s="8" t="s">
        <v>6353</v>
      </c>
    </row>
    <row r="4813" spans="1:4" x14ac:dyDescent="0.35">
      <c r="A4813" t="s">
        <v>3495</v>
      </c>
      <c r="B4813" s="8" t="s">
        <v>3496</v>
      </c>
      <c r="C4813" t="s">
        <v>6354</v>
      </c>
      <c r="D4813" s="8" t="s">
        <v>6355</v>
      </c>
    </row>
    <row r="4814" spans="1:4" x14ac:dyDescent="0.35">
      <c r="A4814" t="s">
        <v>3495</v>
      </c>
      <c r="B4814" s="8" t="s">
        <v>3496</v>
      </c>
      <c r="C4814" t="s">
        <v>6243</v>
      </c>
      <c r="D4814" s="8" t="s">
        <v>6244</v>
      </c>
    </row>
    <row r="4815" spans="1:4" x14ac:dyDescent="0.35">
      <c r="A4815" t="s">
        <v>3495</v>
      </c>
      <c r="B4815" s="8" t="s">
        <v>3496</v>
      </c>
      <c r="C4815" t="s">
        <v>6535</v>
      </c>
      <c r="D4815" s="8" t="s">
        <v>6536</v>
      </c>
    </row>
    <row r="4816" spans="1:4" x14ac:dyDescent="0.35">
      <c r="A4816" t="s">
        <v>3495</v>
      </c>
      <c r="B4816" s="8" t="s">
        <v>3496</v>
      </c>
      <c r="C4816" t="s">
        <v>6572</v>
      </c>
      <c r="D4816" s="8" t="s">
        <v>6573</v>
      </c>
    </row>
    <row r="4817" spans="1:4" x14ac:dyDescent="0.35">
      <c r="A4817" t="s">
        <v>7663</v>
      </c>
      <c r="B4817" s="8" t="s">
        <v>3497</v>
      </c>
      <c r="C4817" t="s">
        <v>6526</v>
      </c>
      <c r="D4817" s="8" t="s">
        <v>6527</v>
      </c>
    </row>
    <row r="4818" spans="1:4" x14ac:dyDescent="0.35">
      <c r="A4818" t="s">
        <v>7663</v>
      </c>
      <c r="B4818" s="8" t="s">
        <v>3497</v>
      </c>
      <c r="C4818" t="s">
        <v>6211</v>
      </c>
      <c r="D4818" s="8" t="s">
        <v>6212</v>
      </c>
    </row>
    <row r="4819" spans="1:4" x14ac:dyDescent="0.35">
      <c r="A4819" t="s">
        <v>7663</v>
      </c>
      <c r="B4819" s="8" t="s">
        <v>3497</v>
      </c>
      <c r="C4819" t="s">
        <v>6644</v>
      </c>
      <c r="D4819" s="8" t="s">
        <v>6645</v>
      </c>
    </row>
    <row r="4820" spans="1:4" x14ac:dyDescent="0.35">
      <c r="A4820" t="s">
        <v>7663</v>
      </c>
      <c r="B4820" s="8" t="s">
        <v>3497</v>
      </c>
      <c r="C4820" t="s">
        <v>6243</v>
      </c>
      <c r="D4820" s="8" t="s">
        <v>6244</v>
      </c>
    </row>
    <row r="4821" spans="1:4" x14ac:dyDescent="0.35">
      <c r="A4821" t="s">
        <v>7663</v>
      </c>
      <c r="B4821" s="8" t="s">
        <v>3497</v>
      </c>
      <c r="C4821" t="s">
        <v>6323</v>
      </c>
      <c r="D4821" s="8" t="s">
        <v>6324</v>
      </c>
    </row>
    <row r="4822" spans="1:4" x14ac:dyDescent="0.35">
      <c r="A4822" t="s">
        <v>7664</v>
      </c>
      <c r="B4822" s="8" t="s">
        <v>3498</v>
      </c>
      <c r="C4822" t="s">
        <v>6216</v>
      </c>
      <c r="D4822" s="8" t="s">
        <v>6217</v>
      </c>
    </row>
    <row r="4823" spans="1:4" x14ac:dyDescent="0.35">
      <c r="A4823" t="s">
        <v>7664</v>
      </c>
      <c r="B4823" s="8" t="s">
        <v>3498</v>
      </c>
      <c r="C4823" t="s">
        <v>6898</v>
      </c>
      <c r="D4823" s="8" t="s">
        <v>6899</v>
      </c>
    </row>
    <row r="4824" spans="1:4" x14ac:dyDescent="0.35">
      <c r="A4824" t="s">
        <v>7664</v>
      </c>
      <c r="B4824" s="8" t="s">
        <v>3498</v>
      </c>
      <c r="C4824" t="s">
        <v>7665</v>
      </c>
      <c r="D4824" s="8" t="s">
        <v>7666</v>
      </c>
    </row>
    <row r="4825" spans="1:4" x14ac:dyDescent="0.35">
      <c r="A4825" t="s">
        <v>7664</v>
      </c>
      <c r="B4825" s="8" t="s">
        <v>3498</v>
      </c>
      <c r="C4825" t="s">
        <v>6864</v>
      </c>
      <c r="D4825" s="8" t="s">
        <v>6865</v>
      </c>
    </row>
    <row r="4826" spans="1:4" x14ac:dyDescent="0.35">
      <c r="A4826" t="s">
        <v>7664</v>
      </c>
      <c r="B4826" s="8" t="s">
        <v>3498</v>
      </c>
      <c r="C4826" t="s">
        <v>6860</v>
      </c>
      <c r="D4826" s="8" t="s">
        <v>6861</v>
      </c>
    </row>
    <row r="4827" spans="1:4" x14ac:dyDescent="0.35">
      <c r="A4827" t="s">
        <v>7667</v>
      </c>
      <c r="B4827" s="8" t="s">
        <v>3499</v>
      </c>
      <c r="C4827" t="s">
        <v>6658</v>
      </c>
      <c r="D4827" s="8" t="s">
        <v>6659</v>
      </c>
    </row>
    <row r="4828" spans="1:4" x14ac:dyDescent="0.35">
      <c r="A4828" t="s">
        <v>7667</v>
      </c>
      <c r="B4828" s="8" t="s">
        <v>3499</v>
      </c>
      <c r="C4828" t="s">
        <v>6276</v>
      </c>
      <c r="D4828" s="8" t="s">
        <v>6277</v>
      </c>
    </row>
    <row r="4829" spans="1:4" x14ac:dyDescent="0.35">
      <c r="A4829" t="s">
        <v>7667</v>
      </c>
      <c r="B4829" s="8" t="s">
        <v>3499</v>
      </c>
      <c r="C4829" t="s">
        <v>6211</v>
      </c>
      <c r="D4829" s="8" t="s">
        <v>6212</v>
      </c>
    </row>
    <row r="4830" spans="1:4" x14ac:dyDescent="0.35">
      <c r="A4830" t="s">
        <v>7667</v>
      </c>
      <c r="B4830" s="8" t="s">
        <v>3499</v>
      </c>
      <c r="C4830" t="s">
        <v>6644</v>
      </c>
      <c r="D4830" s="8" t="s">
        <v>6645</v>
      </c>
    </row>
    <row r="4831" spans="1:4" x14ac:dyDescent="0.35">
      <c r="A4831" t="s">
        <v>7667</v>
      </c>
      <c r="B4831" s="8" t="s">
        <v>3499</v>
      </c>
      <c r="C4831" t="s">
        <v>6243</v>
      </c>
      <c r="D4831" s="8" t="s">
        <v>6244</v>
      </c>
    </row>
    <row r="4832" spans="1:4" x14ac:dyDescent="0.35">
      <c r="A4832" t="s">
        <v>7667</v>
      </c>
      <c r="B4832" s="8" t="s">
        <v>3499</v>
      </c>
      <c r="C4832" t="s">
        <v>6435</v>
      </c>
      <c r="D4832" s="8" t="s">
        <v>6436</v>
      </c>
    </row>
    <row r="4833" spans="1:4" x14ac:dyDescent="0.35">
      <c r="A4833" t="s">
        <v>3500</v>
      </c>
      <c r="B4833" s="8" t="s">
        <v>3501</v>
      </c>
      <c r="C4833" t="s">
        <v>6163</v>
      </c>
      <c r="D4833" s="8" t="s">
        <v>6164</v>
      </c>
    </row>
    <row r="4834" spans="1:4" x14ac:dyDescent="0.35">
      <c r="A4834" t="s">
        <v>3502</v>
      </c>
      <c r="B4834" s="8" t="s">
        <v>3503</v>
      </c>
      <c r="C4834" t="s">
        <v>6900</v>
      </c>
      <c r="D4834" s="8" t="s">
        <v>6901</v>
      </c>
    </row>
    <row r="4835" spans="1:4" x14ac:dyDescent="0.35">
      <c r="A4835" t="s">
        <v>3502</v>
      </c>
      <c r="B4835" s="8" t="s">
        <v>3503</v>
      </c>
      <c r="C4835" t="s">
        <v>7431</v>
      </c>
      <c r="D4835" s="8" t="s">
        <v>7432</v>
      </c>
    </row>
    <row r="4836" spans="1:4" x14ac:dyDescent="0.35">
      <c r="A4836" t="s">
        <v>3502</v>
      </c>
      <c r="B4836" s="8" t="s">
        <v>3503</v>
      </c>
      <c r="C4836" t="s">
        <v>7668</v>
      </c>
      <c r="D4836" s="8" t="s">
        <v>7669</v>
      </c>
    </row>
    <row r="4837" spans="1:4" x14ac:dyDescent="0.35">
      <c r="A4837" t="s">
        <v>3502</v>
      </c>
      <c r="B4837" s="8" t="s">
        <v>3503</v>
      </c>
      <c r="C4837" t="s">
        <v>7670</v>
      </c>
      <c r="D4837" s="8" t="s">
        <v>7671</v>
      </c>
    </row>
    <row r="4838" spans="1:4" x14ac:dyDescent="0.35">
      <c r="A4838" t="s">
        <v>3502</v>
      </c>
      <c r="B4838" s="8" t="s">
        <v>3503</v>
      </c>
      <c r="C4838" t="s">
        <v>6864</v>
      </c>
      <c r="D4838" s="8" t="s">
        <v>6865</v>
      </c>
    </row>
    <row r="4839" spans="1:4" x14ac:dyDescent="0.35">
      <c r="A4839" t="s">
        <v>3502</v>
      </c>
      <c r="B4839" s="8" t="s">
        <v>3503</v>
      </c>
      <c r="C4839" t="s">
        <v>7067</v>
      </c>
      <c r="D4839" s="8" t="s">
        <v>7068</v>
      </c>
    </row>
    <row r="4840" spans="1:4" x14ac:dyDescent="0.35">
      <c r="A4840" t="s">
        <v>3502</v>
      </c>
      <c r="B4840" s="8" t="s">
        <v>3503</v>
      </c>
      <c r="C4840" t="s">
        <v>7672</v>
      </c>
      <c r="D4840" s="8" t="s">
        <v>7673</v>
      </c>
    </row>
    <row r="4841" spans="1:4" x14ac:dyDescent="0.35">
      <c r="A4841" t="s">
        <v>3502</v>
      </c>
      <c r="B4841" s="8" t="s">
        <v>3503</v>
      </c>
      <c r="C4841" t="s">
        <v>7674</v>
      </c>
      <c r="D4841" s="8" t="s">
        <v>7675</v>
      </c>
    </row>
    <row r="4842" spans="1:4" x14ac:dyDescent="0.35">
      <c r="A4842" t="s">
        <v>3502</v>
      </c>
      <c r="B4842" s="8" t="s">
        <v>3503</v>
      </c>
      <c r="C4842" t="s">
        <v>6572</v>
      </c>
      <c r="D4842" s="8" t="s">
        <v>6573</v>
      </c>
    </row>
    <row r="4843" spans="1:4" x14ac:dyDescent="0.35">
      <c r="A4843" t="s">
        <v>3504</v>
      </c>
      <c r="B4843" s="8" t="s">
        <v>3505</v>
      </c>
      <c r="C4843" t="s">
        <v>7674</v>
      </c>
      <c r="D4843" s="8" t="s">
        <v>7675</v>
      </c>
    </row>
    <row r="4844" spans="1:4" x14ac:dyDescent="0.35">
      <c r="A4844" t="s">
        <v>3504</v>
      </c>
      <c r="B4844" s="8" t="s">
        <v>3505</v>
      </c>
      <c r="C4844" t="s">
        <v>7676</v>
      </c>
      <c r="D4844" s="8" t="s">
        <v>7677</v>
      </c>
    </row>
    <row r="4845" spans="1:4" x14ac:dyDescent="0.35">
      <c r="A4845" t="s">
        <v>3504</v>
      </c>
      <c r="B4845" s="8" t="s">
        <v>3505</v>
      </c>
      <c r="C4845" t="s">
        <v>7678</v>
      </c>
      <c r="D4845" s="8" t="s">
        <v>7679</v>
      </c>
    </row>
    <row r="4846" spans="1:4" x14ac:dyDescent="0.35">
      <c r="A4846" t="s">
        <v>3504</v>
      </c>
      <c r="B4846" s="8" t="s">
        <v>3505</v>
      </c>
      <c r="C4846" t="s">
        <v>7680</v>
      </c>
      <c r="D4846" s="8" t="s">
        <v>7681</v>
      </c>
    </row>
    <row r="4847" spans="1:4" x14ac:dyDescent="0.35">
      <c r="A4847" t="s">
        <v>3504</v>
      </c>
      <c r="B4847" s="8" t="s">
        <v>3505</v>
      </c>
      <c r="C4847" t="s">
        <v>7682</v>
      </c>
      <c r="D4847" s="8" t="s">
        <v>7683</v>
      </c>
    </row>
    <row r="4848" spans="1:4" x14ac:dyDescent="0.35">
      <c r="A4848" t="s">
        <v>3506</v>
      </c>
      <c r="B4848" s="8" t="s">
        <v>3507</v>
      </c>
      <c r="C4848" t="s">
        <v>6900</v>
      </c>
      <c r="D4848" s="8" t="s">
        <v>6901</v>
      </c>
    </row>
    <row r="4849" spans="1:4" x14ac:dyDescent="0.35">
      <c r="A4849" t="s">
        <v>3506</v>
      </c>
      <c r="B4849" s="8" t="s">
        <v>3507</v>
      </c>
      <c r="C4849" t="s">
        <v>7067</v>
      </c>
      <c r="D4849" s="8" t="s">
        <v>7068</v>
      </c>
    </row>
    <row r="4850" spans="1:4" x14ac:dyDescent="0.35">
      <c r="A4850" t="s">
        <v>3506</v>
      </c>
      <c r="B4850" s="8" t="s">
        <v>3507</v>
      </c>
      <c r="C4850" t="s">
        <v>6572</v>
      </c>
      <c r="D4850" s="8" t="s">
        <v>6573</v>
      </c>
    </row>
    <row r="4851" spans="1:4" x14ac:dyDescent="0.35">
      <c r="A4851" t="s">
        <v>3508</v>
      </c>
      <c r="B4851" s="8" t="s">
        <v>3509</v>
      </c>
      <c r="C4851" t="s">
        <v>6898</v>
      </c>
      <c r="D4851" s="8" t="s">
        <v>6899</v>
      </c>
    </row>
    <row r="4852" spans="1:4" x14ac:dyDescent="0.35">
      <c r="A4852" t="s">
        <v>3508</v>
      </c>
      <c r="B4852" s="8" t="s">
        <v>3509</v>
      </c>
      <c r="C4852" t="s">
        <v>6900</v>
      </c>
      <c r="D4852" s="8" t="s">
        <v>6901</v>
      </c>
    </row>
    <row r="4853" spans="1:4" x14ac:dyDescent="0.35">
      <c r="A4853" t="s">
        <v>3508</v>
      </c>
      <c r="B4853" s="8" t="s">
        <v>3509</v>
      </c>
      <c r="C4853" t="s">
        <v>7431</v>
      </c>
      <c r="D4853" s="8" t="s">
        <v>7432</v>
      </c>
    </row>
    <row r="4854" spans="1:4" x14ac:dyDescent="0.35">
      <c r="A4854" t="s">
        <v>3508</v>
      </c>
      <c r="B4854" s="8" t="s">
        <v>3509</v>
      </c>
      <c r="C4854" t="s">
        <v>7668</v>
      </c>
      <c r="D4854" s="8" t="s">
        <v>7669</v>
      </c>
    </row>
    <row r="4855" spans="1:4" x14ac:dyDescent="0.35">
      <c r="A4855" t="s">
        <v>3508</v>
      </c>
      <c r="B4855" s="8" t="s">
        <v>3509</v>
      </c>
      <c r="C4855" t="s">
        <v>6862</v>
      </c>
      <c r="D4855" s="8" t="s">
        <v>6863</v>
      </c>
    </row>
    <row r="4856" spans="1:4" x14ac:dyDescent="0.35">
      <c r="A4856" t="s">
        <v>3508</v>
      </c>
      <c r="B4856" s="8" t="s">
        <v>3509</v>
      </c>
      <c r="C4856" t="s">
        <v>6864</v>
      </c>
      <c r="D4856" s="8" t="s">
        <v>6865</v>
      </c>
    </row>
    <row r="4857" spans="1:4" x14ac:dyDescent="0.35">
      <c r="A4857" t="s">
        <v>3508</v>
      </c>
      <c r="B4857" s="8" t="s">
        <v>3509</v>
      </c>
      <c r="C4857" t="s">
        <v>6572</v>
      </c>
      <c r="D4857" s="8" t="s">
        <v>6573</v>
      </c>
    </row>
    <row r="4858" spans="1:4" x14ac:dyDescent="0.35">
      <c r="A4858" t="s">
        <v>3510</v>
      </c>
      <c r="B4858" s="8" t="s">
        <v>3511</v>
      </c>
      <c r="C4858" t="s">
        <v>6898</v>
      </c>
      <c r="D4858" s="8" t="s">
        <v>6899</v>
      </c>
    </row>
    <row r="4859" spans="1:4" x14ac:dyDescent="0.35">
      <c r="A4859" t="s">
        <v>3510</v>
      </c>
      <c r="B4859" s="8" t="s">
        <v>3511</v>
      </c>
      <c r="C4859" t="s">
        <v>6900</v>
      </c>
      <c r="D4859" s="8" t="s">
        <v>6901</v>
      </c>
    </row>
    <row r="4860" spans="1:4" x14ac:dyDescent="0.35">
      <c r="A4860" t="s">
        <v>3510</v>
      </c>
      <c r="B4860" s="8" t="s">
        <v>3511</v>
      </c>
      <c r="C4860" t="s">
        <v>7431</v>
      </c>
      <c r="D4860" s="8" t="s">
        <v>7432</v>
      </c>
    </row>
    <row r="4861" spans="1:4" x14ac:dyDescent="0.35">
      <c r="A4861" t="s">
        <v>3510</v>
      </c>
      <c r="B4861" s="8" t="s">
        <v>3511</v>
      </c>
      <c r="C4861" t="s">
        <v>6862</v>
      </c>
      <c r="D4861" s="8" t="s">
        <v>6863</v>
      </c>
    </row>
    <row r="4862" spans="1:4" x14ac:dyDescent="0.35">
      <c r="A4862" t="s">
        <v>3510</v>
      </c>
      <c r="B4862" s="8" t="s">
        <v>3511</v>
      </c>
      <c r="C4862" t="s">
        <v>6864</v>
      </c>
      <c r="D4862" s="8" t="s">
        <v>6865</v>
      </c>
    </row>
    <row r="4863" spans="1:4" x14ac:dyDescent="0.35">
      <c r="A4863" t="s">
        <v>3510</v>
      </c>
      <c r="B4863" s="8" t="s">
        <v>3511</v>
      </c>
      <c r="C4863" t="s">
        <v>6572</v>
      </c>
      <c r="D4863" s="8" t="s">
        <v>6573</v>
      </c>
    </row>
    <row r="4864" spans="1:4" x14ac:dyDescent="0.35">
      <c r="A4864" t="s">
        <v>3512</v>
      </c>
      <c r="B4864" s="8" t="s">
        <v>3513</v>
      </c>
      <c r="C4864" t="s">
        <v>6163</v>
      </c>
      <c r="D4864" s="8" t="s">
        <v>6164</v>
      </c>
    </row>
    <row r="4865" spans="1:4" x14ac:dyDescent="0.35">
      <c r="A4865" t="s">
        <v>3514</v>
      </c>
      <c r="B4865" s="8" t="s">
        <v>3515</v>
      </c>
      <c r="C4865" t="s">
        <v>6133</v>
      </c>
      <c r="D4865" s="8" t="s">
        <v>6134</v>
      </c>
    </row>
    <row r="4866" spans="1:4" x14ac:dyDescent="0.35">
      <c r="A4866" t="s">
        <v>3514</v>
      </c>
      <c r="B4866" s="8" t="s">
        <v>3515</v>
      </c>
      <c r="C4866" t="s">
        <v>7684</v>
      </c>
      <c r="D4866" s="8" t="s">
        <v>7685</v>
      </c>
    </row>
    <row r="4867" spans="1:4" x14ac:dyDescent="0.35">
      <c r="A4867" t="s">
        <v>3514</v>
      </c>
      <c r="B4867" s="8" t="s">
        <v>3515</v>
      </c>
      <c r="C4867" t="s">
        <v>7686</v>
      </c>
      <c r="D4867" s="8" t="s">
        <v>7687</v>
      </c>
    </row>
    <row r="4868" spans="1:4" x14ac:dyDescent="0.35">
      <c r="A4868" t="s">
        <v>3514</v>
      </c>
      <c r="B4868" s="8" t="s">
        <v>3515</v>
      </c>
      <c r="C4868" t="s">
        <v>7688</v>
      </c>
      <c r="D4868" s="8" t="s">
        <v>7689</v>
      </c>
    </row>
    <row r="4869" spans="1:4" x14ac:dyDescent="0.35">
      <c r="A4869" t="s">
        <v>3516</v>
      </c>
      <c r="B4869" s="8" t="s">
        <v>3517</v>
      </c>
      <c r="C4869" t="s">
        <v>6133</v>
      </c>
      <c r="D4869" s="8" t="s">
        <v>6134</v>
      </c>
    </row>
    <row r="4870" spans="1:4" x14ac:dyDescent="0.35">
      <c r="A4870" t="s">
        <v>3516</v>
      </c>
      <c r="B4870" s="8" t="s">
        <v>3517</v>
      </c>
      <c r="C4870" t="s">
        <v>7686</v>
      </c>
      <c r="D4870" s="8" t="s">
        <v>7687</v>
      </c>
    </row>
    <row r="4871" spans="1:4" x14ac:dyDescent="0.35">
      <c r="A4871" t="s">
        <v>3516</v>
      </c>
      <c r="B4871" s="8" t="s">
        <v>3517</v>
      </c>
      <c r="C4871" t="s">
        <v>7688</v>
      </c>
      <c r="D4871" s="8" t="s">
        <v>7689</v>
      </c>
    </row>
    <row r="4872" spans="1:4" x14ac:dyDescent="0.35">
      <c r="A4872" t="s">
        <v>3518</v>
      </c>
      <c r="B4872" s="8" t="s">
        <v>3519</v>
      </c>
      <c r="C4872" t="s">
        <v>7690</v>
      </c>
      <c r="D4872" s="8" t="s">
        <v>7691</v>
      </c>
    </row>
    <row r="4873" spans="1:4" x14ac:dyDescent="0.35">
      <c r="A4873" t="s">
        <v>3518</v>
      </c>
      <c r="B4873" s="8" t="s">
        <v>3519</v>
      </c>
      <c r="C4873" t="s">
        <v>7692</v>
      </c>
      <c r="D4873" s="8" t="s">
        <v>7693</v>
      </c>
    </row>
    <row r="4874" spans="1:4" x14ac:dyDescent="0.35">
      <c r="A4874" t="s">
        <v>3518</v>
      </c>
      <c r="B4874" s="8" t="s">
        <v>3519</v>
      </c>
      <c r="C4874" t="s">
        <v>6221</v>
      </c>
      <c r="D4874" s="8" t="s">
        <v>6222</v>
      </c>
    </row>
    <row r="4875" spans="1:4" x14ac:dyDescent="0.35">
      <c r="A4875" t="s">
        <v>3520</v>
      </c>
      <c r="B4875" s="8" t="s">
        <v>3521</v>
      </c>
      <c r="C4875" t="s">
        <v>7684</v>
      </c>
      <c r="D4875" s="8" t="s">
        <v>7685</v>
      </c>
    </row>
    <row r="4876" spans="1:4" x14ac:dyDescent="0.35">
      <c r="A4876" t="s">
        <v>3520</v>
      </c>
      <c r="B4876" s="8" t="s">
        <v>3521</v>
      </c>
      <c r="C4876" t="s">
        <v>6390</v>
      </c>
      <c r="D4876" s="8" t="s">
        <v>6391</v>
      </c>
    </row>
    <row r="4877" spans="1:4" x14ac:dyDescent="0.35">
      <c r="A4877" t="s">
        <v>3522</v>
      </c>
      <c r="B4877" s="8" t="s">
        <v>3523</v>
      </c>
      <c r="C4877" t="s">
        <v>7694</v>
      </c>
      <c r="D4877" s="8" t="s">
        <v>7695</v>
      </c>
    </row>
    <row r="4878" spans="1:4" x14ac:dyDescent="0.35">
      <c r="A4878" t="s">
        <v>3522</v>
      </c>
      <c r="B4878" s="8" t="s">
        <v>3523</v>
      </c>
      <c r="C4878" t="s">
        <v>7696</v>
      </c>
      <c r="D4878" s="8" t="s">
        <v>7697</v>
      </c>
    </row>
    <row r="4879" spans="1:4" x14ac:dyDescent="0.35">
      <c r="A4879" t="s">
        <v>3522</v>
      </c>
      <c r="B4879" s="8" t="s">
        <v>3523</v>
      </c>
      <c r="C4879" t="s">
        <v>7698</v>
      </c>
      <c r="D4879" s="8" t="s">
        <v>7699</v>
      </c>
    </row>
    <row r="4880" spans="1:4" x14ac:dyDescent="0.35">
      <c r="A4880" t="s">
        <v>3522</v>
      </c>
      <c r="B4880" s="8" t="s">
        <v>3523</v>
      </c>
      <c r="C4880" t="s">
        <v>7692</v>
      </c>
      <c r="D4880" s="8" t="s">
        <v>7693</v>
      </c>
    </row>
    <row r="4881" spans="1:4" x14ac:dyDescent="0.35">
      <c r="A4881" t="s">
        <v>3522</v>
      </c>
      <c r="B4881" s="8" t="s">
        <v>3523</v>
      </c>
      <c r="C4881" t="s">
        <v>7700</v>
      </c>
      <c r="D4881" s="8" t="s">
        <v>7701</v>
      </c>
    </row>
    <row r="4882" spans="1:4" x14ac:dyDescent="0.35">
      <c r="A4882" t="s">
        <v>3522</v>
      </c>
      <c r="B4882" s="8" t="s">
        <v>3523</v>
      </c>
      <c r="C4882" t="s">
        <v>6429</v>
      </c>
      <c r="D4882" s="8" t="s">
        <v>6430</v>
      </c>
    </row>
    <row r="4883" spans="1:4" x14ac:dyDescent="0.35">
      <c r="A4883" t="s">
        <v>3522</v>
      </c>
      <c r="B4883" s="8" t="s">
        <v>3523</v>
      </c>
      <c r="C4883" t="s">
        <v>7702</v>
      </c>
      <c r="D4883" s="8" t="s">
        <v>7703</v>
      </c>
    </row>
    <row r="4884" spans="1:4" x14ac:dyDescent="0.35">
      <c r="A4884" t="s">
        <v>3522</v>
      </c>
      <c r="B4884" s="8" t="s">
        <v>3523</v>
      </c>
      <c r="C4884" t="s">
        <v>7704</v>
      </c>
      <c r="D4884" s="8" t="s">
        <v>7705</v>
      </c>
    </row>
    <row r="4885" spans="1:4" x14ac:dyDescent="0.35">
      <c r="A4885" t="s">
        <v>3524</v>
      </c>
      <c r="B4885" s="8" t="s">
        <v>3525</v>
      </c>
      <c r="C4885" t="s">
        <v>7706</v>
      </c>
      <c r="D4885" s="8" t="s">
        <v>7707</v>
      </c>
    </row>
    <row r="4886" spans="1:4" x14ac:dyDescent="0.35">
      <c r="A4886" t="s">
        <v>3526</v>
      </c>
      <c r="B4886" s="8" t="s">
        <v>3527</v>
      </c>
      <c r="C4886" t="s">
        <v>7700</v>
      </c>
      <c r="D4886" s="8" t="s">
        <v>7701</v>
      </c>
    </row>
    <row r="4887" spans="1:4" x14ac:dyDescent="0.35">
      <c r="A4887" t="s">
        <v>3526</v>
      </c>
      <c r="B4887" s="8" t="s">
        <v>3527</v>
      </c>
      <c r="C4887" t="s">
        <v>7708</v>
      </c>
      <c r="D4887" s="8" t="s">
        <v>7709</v>
      </c>
    </row>
    <row r="4888" spans="1:4" x14ac:dyDescent="0.35">
      <c r="A4888" t="s">
        <v>3528</v>
      </c>
      <c r="B4888" s="8" t="s">
        <v>3529</v>
      </c>
      <c r="C4888" t="s">
        <v>7690</v>
      </c>
      <c r="D4888" s="8" t="s">
        <v>7691</v>
      </c>
    </row>
    <row r="4889" spans="1:4" x14ac:dyDescent="0.35">
      <c r="A4889" t="s">
        <v>3528</v>
      </c>
      <c r="B4889" s="8" t="s">
        <v>3529</v>
      </c>
      <c r="C4889" t="s">
        <v>7692</v>
      </c>
      <c r="D4889" s="8" t="s">
        <v>7693</v>
      </c>
    </row>
    <row r="4890" spans="1:4" x14ac:dyDescent="0.35">
      <c r="A4890" t="s">
        <v>3530</v>
      </c>
      <c r="B4890" s="8" t="s">
        <v>3531</v>
      </c>
      <c r="C4890" t="s">
        <v>7655</v>
      </c>
      <c r="D4890" s="8" t="s">
        <v>7656</v>
      </c>
    </row>
    <row r="4891" spans="1:4" x14ac:dyDescent="0.35">
      <c r="A4891" t="s">
        <v>3532</v>
      </c>
      <c r="B4891" s="8" t="s">
        <v>3534</v>
      </c>
      <c r="C4891" t="s">
        <v>6319</v>
      </c>
      <c r="D4891" s="8" t="s">
        <v>6320</v>
      </c>
    </row>
    <row r="4892" spans="1:4" x14ac:dyDescent="0.35">
      <c r="A4892" t="s">
        <v>3532</v>
      </c>
      <c r="B4892" s="8" t="s">
        <v>3534</v>
      </c>
      <c r="C4892" t="s">
        <v>6572</v>
      </c>
      <c r="D4892" s="8" t="s">
        <v>6573</v>
      </c>
    </row>
    <row r="4893" spans="1:4" x14ac:dyDescent="0.35">
      <c r="A4893" t="s">
        <v>3532</v>
      </c>
      <c r="B4893" s="8" t="s">
        <v>3534</v>
      </c>
      <c r="C4893" t="s">
        <v>6325</v>
      </c>
      <c r="D4893" s="8" t="s">
        <v>6326</v>
      </c>
    </row>
    <row r="4894" spans="1:4" x14ac:dyDescent="0.35">
      <c r="A4894" t="s">
        <v>3532</v>
      </c>
      <c r="B4894" s="8" t="s">
        <v>3534</v>
      </c>
      <c r="C4894" t="s">
        <v>6329</v>
      </c>
      <c r="D4894" s="8" t="s">
        <v>6330</v>
      </c>
    </row>
    <row r="4895" spans="1:4" x14ac:dyDescent="0.35">
      <c r="A4895" t="s">
        <v>3532</v>
      </c>
      <c r="B4895" s="8" t="s">
        <v>3534</v>
      </c>
      <c r="C4895" t="s">
        <v>6331</v>
      </c>
      <c r="D4895" s="8" t="s">
        <v>6332</v>
      </c>
    </row>
    <row r="4896" spans="1:4" x14ac:dyDescent="0.35">
      <c r="A4896" t="s">
        <v>3532</v>
      </c>
      <c r="B4896" s="8" t="s">
        <v>3534</v>
      </c>
      <c r="C4896" t="s">
        <v>6366</v>
      </c>
      <c r="D4896" s="8" t="s">
        <v>6367</v>
      </c>
    </row>
    <row r="4897" spans="1:4" x14ac:dyDescent="0.35">
      <c r="A4897" t="s">
        <v>3532</v>
      </c>
      <c r="B4897" s="8" t="s">
        <v>3534</v>
      </c>
      <c r="C4897" t="s">
        <v>6333</v>
      </c>
      <c r="D4897" s="8" t="s">
        <v>6334</v>
      </c>
    </row>
    <row r="4898" spans="1:4" x14ac:dyDescent="0.35">
      <c r="A4898" t="s">
        <v>3532</v>
      </c>
      <c r="B4898" s="8" t="s">
        <v>3534</v>
      </c>
      <c r="C4898" t="s">
        <v>6337</v>
      </c>
      <c r="D4898" s="8" t="s">
        <v>6338</v>
      </c>
    </row>
    <row r="4899" spans="1:4" x14ac:dyDescent="0.35">
      <c r="A4899" t="s">
        <v>7710</v>
      </c>
      <c r="B4899" s="8" t="s">
        <v>3535</v>
      </c>
      <c r="C4899" t="s">
        <v>6321</v>
      </c>
      <c r="D4899" s="8" t="s">
        <v>6322</v>
      </c>
    </row>
    <row r="4900" spans="1:4" x14ac:dyDescent="0.35">
      <c r="A4900" t="s">
        <v>7710</v>
      </c>
      <c r="B4900" s="8" t="s">
        <v>3535</v>
      </c>
      <c r="C4900" t="s">
        <v>6323</v>
      </c>
      <c r="D4900" s="8" t="s">
        <v>6324</v>
      </c>
    </row>
    <row r="4901" spans="1:4" x14ac:dyDescent="0.35">
      <c r="A4901" t="s">
        <v>7710</v>
      </c>
      <c r="B4901" s="8" t="s">
        <v>3535</v>
      </c>
      <c r="C4901" t="s">
        <v>6331</v>
      </c>
      <c r="D4901" s="8" t="s">
        <v>6332</v>
      </c>
    </row>
    <row r="4902" spans="1:4" x14ac:dyDescent="0.35">
      <c r="A4902" t="s">
        <v>7710</v>
      </c>
      <c r="B4902" s="8" t="s">
        <v>3535</v>
      </c>
      <c r="C4902" t="s">
        <v>6366</v>
      </c>
      <c r="D4902" s="8" t="s">
        <v>6367</v>
      </c>
    </row>
    <row r="4903" spans="1:4" x14ac:dyDescent="0.35">
      <c r="A4903" t="s">
        <v>7711</v>
      </c>
      <c r="B4903" s="8" t="s">
        <v>3536</v>
      </c>
      <c r="C4903" t="s">
        <v>6319</v>
      </c>
      <c r="D4903" s="8" t="s">
        <v>6320</v>
      </c>
    </row>
    <row r="4904" spans="1:4" x14ac:dyDescent="0.35">
      <c r="A4904" t="s">
        <v>7711</v>
      </c>
      <c r="B4904" s="8" t="s">
        <v>3536</v>
      </c>
      <c r="C4904" t="s">
        <v>6572</v>
      </c>
      <c r="D4904" s="8" t="s">
        <v>6573</v>
      </c>
    </row>
    <row r="4905" spans="1:4" x14ac:dyDescent="0.35">
      <c r="A4905" t="s">
        <v>7711</v>
      </c>
      <c r="B4905" s="8" t="s">
        <v>3536</v>
      </c>
      <c r="C4905" t="s">
        <v>6325</v>
      </c>
      <c r="D4905" s="8" t="s">
        <v>6326</v>
      </c>
    </row>
    <row r="4906" spans="1:4" x14ac:dyDescent="0.35">
      <c r="A4906" t="s">
        <v>7711</v>
      </c>
      <c r="B4906" s="8" t="s">
        <v>3536</v>
      </c>
      <c r="C4906" t="s">
        <v>6329</v>
      </c>
      <c r="D4906" s="8" t="s">
        <v>6330</v>
      </c>
    </row>
    <row r="4907" spans="1:4" x14ac:dyDescent="0.35">
      <c r="A4907" t="s">
        <v>7711</v>
      </c>
      <c r="B4907" s="8" t="s">
        <v>3536</v>
      </c>
      <c r="C4907" t="s">
        <v>6331</v>
      </c>
      <c r="D4907" s="8" t="s">
        <v>6332</v>
      </c>
    </row>
    <row r="4908" spans="1:4" x14ac:dyDescent="0.35">
      <c r="A4908" t="s">
        <v>7711</v>
      </c>
      <c r="B4908" s="8" t="s">
        <v>3536</v>
      </c>
      <c r="C4908" t="s">
        <v>6366</v>
      </c>
      <c r="D4908" s="8" t="s">
        <v>6367</v>
      </c>
    </row>
    <row r="4909" spans="1:4" x14ac:dyDescent="0.35">
      <c r="A4909" t="s">
        <v>7711</v>
      </c>
      <c r="B4909" s="8" t="s">
        <v>3536</v>
      </c>
      <c r="C4909" t="s">
        <v>6333</v>
      </c>
      <c r="D4909" s="8" t="s">
        <v>6334</v>
      </c>
    </row>
    <row r="4910" spans="1:4" x14ac:dyDescent="0.35">
      <c r="A4910" t="s">
        <v>3537</v>
      </c>
      <c r="B4910" s="8" t="s">
        <v>3538</v>
      </c>
      <c r="C4910" t="s">
        <v>6535</v>
      </c>
      <c r="D4910" s="8" t="s">
        <v>6536</v>
      </c>
    </row>
    <row r="4911" spans="1:4" x14ac:dyDescent="0.35">
      <c r="A4911" t="s">
        <v>3537</v>
      </c>
      <c r="B4911" s="8" t="s">
        <v>3538</v>
      </c>
      <c r="C4911" t="s">
        <v>6864</v>
      </c>
      <c r="D4911" s="8" t="s">
        <v>6865</v>
      </c>
    </row>
    <row r="4912" spans="1:4" x14ac:dyDescent="0.35">
      <c r="A4912" t="s">
        <v>3537</v>
      </c>
      <c r="B4912" s="8" t="s">
        <v>3538</v>
      </c>
      <c r="C4912" t="s">
        <v>6121</v>
      </c>
      <c r="D4912" s="8" t="s">
        <v>6122</v>
      </c>
    </row>
    <row r="4913" spans="1:4" x14ac:dyDescent="0.35">
      <c r="A4913" t="s">
        <v>3537</v>
      </c>
      <c r="B4913" s="8" t="s">
        <v>3538</v>
      </c>
      <c r="C4913" t="s">
        <v>6542</v>
      </c>
      <c r="D4913" s="8" t="s">
        <v>6543</v>
      </c>
    </row>
    <row r="4914" spans="1:4" x14ac:dyDescent="0.35">
      <c r="A4914" t="s">
        <v>3537</v>
      </c>
      <c r="B4914" s="8" t="s">
        <v>3538</v>
      </c>
      <c r="C4914" t="s">
        <v>6123</v>
      </c>
      <c r="D4914" s="8" t="s">
        <v>6124</v>
      </c>
    </row>
    <row r="4915" spans="1:4" x14ac:dyDescent="0.35">
      <c r="A4915" t="s">
        <v>3539</v>
      </c>
      <c r="B4915" s="8" t="s">
        <v>3540</v>
      </c>
      <c r="C4915" t="s">
        <v>7082</v>
      </c>
      <c r="D4915" s="8" t="s">
        <v>7083</v>
      </c>
    </row>
    <row r="4916" spans="1:4" x14ac:dyDescent="0.35">
      <c r="A4916" t="s">
        <v>3539</v>
      </c>
      <c r="B4916" s="8" t="s">
        <v>3540</v>
      </c>
      <c r="C4916" t="s">
        <v>6216</v>
      </c>
      <c r="D4916" s="8" t="s">
        <v>6217</v>
      </c>
    </row>
    <row r="4917" spans="1:4" x14ac:dyDescent="0.35">
      <c r="A4917" t="s">
        <v>3539</v>
      </c>
      <c r="B4917" s="8" t="s">
        <v>3540</v>
      </c>
      <c r="C4917" t="s">
        <v>6243</v>
      </c>
      <c r="D4917" s="8" t="s">
        <v>6244</v>
      </c>
    </row>
    <row r="4918" spans="1:4" x14ac:dyDescent="0.35">
      <c r="A4918" t="s">
        <v>3539</v>
      </c>
      <c r="B4918" s="8" t="s">
        <v>3540</v>
      </c>
      <c r="C4918" t="s">
        <v>6572</v>
      </c>
      <c r="D4918" s="8" t="s">
        <v>6573</v>
      </c>
    </row>
    <row r="4919" spans="1:4" x14ac:dyDescent="0.35">
      <c r="A4919" t="s">
        <v>3541</v>
      </c>
      <c r="B4919" s="8" t="s">
        <v>3542</v>
      </c>
      <c r="C4919" t="s">
        <v>6243</v>
      </c>
      <c r="D4919" s="8" t="s">
        <v>6244</v>
      </c>
    </row>
    <row r="4920" spans="1:4" x14ac:dyDescent="0.35">
      <c r="A4920" t="s">
        <v>3541</v>
      </c>
      <c r="B4920" s="8" t="s">
        <v>3542</v>
      </c>
      <c r="C4920" t="s">
        <v>6572</v>
      </c>
      <c r="D4920" s="8" t="s">
        <v>6573</v>
      </c>
    </row>
    <row r="4921" spans="1:4" x14ac:dyDescent="0.35">
      <c r="A4921" t="s">
        <v>3543</v>
      </c>
      <c r="B4921" s="8" t="s">
        <v>3544</v>
      </c>
      <c r="C4921" t="s">
        <v>6457</v>
      </c>
      <c r="D4921" s="8" t="s">
        <v>6458</v>
      </c>
    </row>
    <row r="4922" spans="1:4" x14ac:dyDescent="0.35">
      <c r="A4922" t="s">
        <v>3543</v>
      </c>
      <c r="B4922" s="8" t="s">
        <v>3544</v>
      </c>
      <c r="C4922" t="s">
        <v>6243</v>
      </c>
      <c r="D4922" s="8" t="s">
        <v>6244</v>
      </c>
    </row>
    <row r="4923" spans="1:4" x14ac:dyDescent="0.35">
      <c r="A4923" t="s">
        <v>7712</v>
      </c>
      <c r="B4923" s="8" t="s">
        <v>3545</v>
      </c>
      <c r="C4923" t="s">
        <v>7082</v>
      </c>
      <c r="D4923" s="8" t="s">
        <v>7083</v>
      </c>
    </row>
    <row r="4924" spans="1:4" x14ac:dyDescent="0.35">
      <c r="A4924" t="s">
        <v>7712</v>
      </c>
      <c r="B4924" s="8" t="s">
        <v>3545</v>
      </c>
      <c r="C4924" t="s">
        <v>6216</v>
      </c>
      <c r="D4924" s="8" t="s">
        <v>6217</v>
      </c>
    </row>
    <row r="4925" spans="1:4" x14ac:dyDescent="0.35">
      <c r="A4925" t="s">
        <v>7712</v>
      </c>
      <c r="B4925" s="8" t="s">
        <v>3545</v>
      </c>
      <c r="C4925" t="s">
        <v>6243</v>
      </c>
      <c r="D4925" s="8" t="s">
        <v>6244</v>
      </c>
    </row>
    <row r="4926" spans="1:4" x14ac:dyDescent="0.35">
      <c r="A4926" t="s">
        <v>3546</v>
      </c>
      <c r="B4926" s="8" t="s">
        <v>3547</v>
      </c>
      <c r="C4926" t="s">
        <v>6163</v>
      </c>
      <c r="D4926" s="8" t="s">
        <v>6164</v>
      </c>
    </row>
    <row r="4927" spans="1:4" x14ac:dyDescent="0.35">
      <c r="A4927" t="s">
        <v>3548</v>
      </c>
      <c r="B4927" s="8" t="s">
        <v>3549</v>
      </c>
      <c r="C4927" t="s">
        <v>7082</v>
      </c>
      <c r="D4927" s="8" t="s">
        <v>7083</v>
      </c>
    </row>
    <row r="4928" spans="1:4" x14ac:dyDescent="0.35">
      <c r="A4928" t="s">
        <v>3548</v>
      </c>
      <c r="B4928" s="8" t="s">
        <v>3549</v>
      </c>
      <c r="C4928" t="s">
        <v>6216</v>
      </c>
      <c r="D4928" s="8" t="s">
        <v>6217</v>
      </c>
    </row>
    <row r="4929" spans="1:4" x14ac:dyDescent="0.35">
      <c r="A4929" t="s">
        <v>3548</v>
      </c>
      <c r="B4929" s="8" t="s">
        <v>3549</v>
      </c>
      <c r="C4929" t="s">
        <v>6898</v>
      </c>
      <c r="D4929" s="8" t="s">
        <v>6899</v>
      </c>
    </row>
    <row r="4930" spans="1:4" x14ac:dyDescent="0.35">
      <c r="A4930" t="s">
        <v>3548</v>
      </c>
      <c r="B4930" s="8" t="s">
        <v>3549</v>
      </c>
      <c r="C4930" t="s">
        <v>7653</v>
      </c>
      <c r="D4930" s="8" t="s">
        <v>7654</v>
      </c>
    </row>
    <row r="4931" spans="1:4" x14ac:dyDescent="0.35">
      <c r="A4931" t="s">
        <v>3548</v>
      </c>
      <c r="B4931" s="8" t="s">
        <v>3549</v>
      </c>
      <c r="C4931" t="s">
        <v>7431</v>
      </c>
      <c r="D4931" s="8" t="s">
        <v>7432</v>
      </c>
    </row>
    <row r="4932" spans="1:4" x14ac:dyDescent="0.35">
      <c r="A4932" t="s">
        <v>3548</v>
      </c>
      <c r="B4932" s="8" t="s">
        <v>3549</v>
      </c>
      <c r="C4932" t="s">
        <v>7668</v>
      </c>
      <c r="D4932" s="8" t="s">
        <v>7669</v>
      </c>
    </row>
    <row r="4933" spans="1:4" x14ac:dyDescent="0.35">
      <c r="A4933" t="s">
        <v>3548</v>
      </c>
      <c r="B4933" s="8" t="s">
        <v>3549</v>
      </c>
      <c r="C4933" t="s">
        <v>7670</v>
      </c>
      <c r="D4933" s="8" t="s">
        <v>7671</v>
      </c>
    </row>
    <row r="4934" spans="1:4" x14ac:dyDescent="0.35">
      <c r="A4934" t="s">
        <v>3548</v>
      </c>
      <c r="B4934" s="8" t="s">
        <v>3549</v>
      </c>
      <c r="C4934" t="s">
        <v>6862</v>
      </c>
      <c r="D4934" s="8" t="s">
        <v>6863</v>
      </c>
    </row>
    <row r="4935" spans="1:4" x14ac:dyDescent="0.35">
      <c r="A4935" t="s">
        <v>3548</v>
      </c>
      <c r="B4935" s="8" t="s">
        <v>3549</v>
      </c>
      <c r="C4935" t="s">
        <v>6766</v>
      </c>
      <c r="D4935" s="8" t="s">
        <v>6767</v>
      </c>
    </row>
    <row r="4936" spans="1:4" x14ac:dyDescent="0.35">
      <c r="A4936" t="s">
        <v>3548</v>
      </c>
      <c r="B4936" s="8" t="s">
        <v>3549</v>
      </c>
      <c r="C4936" t="s">
        <v>6864</v>
      </c>
      <c r="D4936" s="8" t="s">
        <v>6865</v>
      </c>
    </row>
    <row r="4937" spans="1:4" x14ac:dyDescent="0.35">
      <c r="A4937" t="s">
        <v>3548</v>
      </c>
      <c r="B4937" s="8" t="s">
        <v>3549</v>
      </c>
      <c r="C4937" t="s">
        <v>7713</v>
      </c>
      <c r="D4937" s="8" t="s">
        <v>7714</v>
      </c>
    </row>
    <row r="4938" spans="1:4" x14ac:dyDescent="0.35">
      <c r="A4938" t="s">
        <v>3548</v>
      </c>
      <c r="B4938" s="8" t="s">
        <v>3549</v>
      </c>
      <c r="C4938" t="s">
        <v>6866</v>
      </c>
      <c r="D4938" s="8" t="s">
        <v>6867</v>
      </c>
    </row>
    <row r="4939" spans="1:4" x14ac:dyDescent="0.35">
      <c r="A4939" t="s">
        <v>3548</v>
      </c>
      <c r="B4939" s="8" t="s">
        <v>3549</v>
      </c>
      <c r="C4939" t="s">
        <v>6572</v>
      </c>
      <c r="D4939" s="8" t="s">
        <v>6573</v>
      </c>
    </row>
    <row r="4940" spans="1:4" x14ac:dyDescent="0.35">
      <c r="A4940" t="s">
        <v>3550</v>
      </c>
      <c r="B4940" s="8" t="s">
        <v>3551</v>
      </c>
      <c r="C4940" t="s">
        <v>7715</v>
      </c>
      <c r="D4940" s="8" t="s">
        <v>7716</v>
      </c>
    </row>
    <row r="4941" spans="1:4" x14ac:dyDescent="0.35">
      <c r="A4941" t="s">
        <v>3550</v>
      </c>
      <c r="B4941" s="8" t="s">
        <v>3551</v>
      </c>
      <c r="C4941" t="s">
        <v>7717</v>
      </c>
      <c r="D4941" s="8" t="s">
        <v>7718</v>
      </c>
    </row>
    <row r="4942" spans="1:4" x14ac:dyDescent="0.35">
      <c r="A4942" t="s">
        <v>3550</v>
      </c>
      <c r="B4942" s="8" t="s">
        <v>3551</v>
      </c>
      <c r="C4942" t="s">
        <v>7719</v>
      </c>
      <c r="D4942" s="8" t="s">
        <v>7720</v>
      </c>
    </row>
    <row r="4943" spans="1:4" x14ac:dyDescent="0.35">
      <c r="A4943" t="s">
        <v>3550</v>
      </c>
      <c r="B4943" s="8" t="s">
        <v>3551</v>
      </c>
      <c r="C4943" t="s">
        <v>7721</v>
      </c>
      <c r="D4943" s="8" t="s">
        <v>7722</v>
      </c>
    </row>
    <row r="4944" spans="1:4" x14ac:dyDescent="0.35">
      <c r="A4944" t="s">
        <v>3550</v>
      </c>
      <c r="B4944" s="8" t="s">
        <v>3551</v>
      </c>
      <c r="C4944" t="s">
        <v>7723</v>
      </c>
      <c r="D4944" s="8" t="s">
        <v>7724</v>
      </c>
    </row>
    <row r="4945" spans="1:4" x14ac:dyDescent="0.35">
      <c r="A4945" t="s">
        <v>3550</v>
      </c>
      <c r="B4945" s="8" t="s">
        <v>3551</v>
      </c>
      <c r="C4945" t="s">
        <v>7725</v>
      </c>
      <c r="D4945" s="8" t="s">
        <v>7726</v>
      </c>
    </row>
    <row r="4946" spans="1:4" x14ac:dyDescent="0.35">
      <c r="A4946" t="s">
        <v>3552</v>
      </c>
      <c r="B4946" s="8" t="s">
        <v>3553</v>
      </c>
      <c r="C4946" t="s">
        <v>6766</v>
      </c>
      <c r="D4946" s="8" t="s">
        <v>6767</v>
      </c>
    </row>
    <row r="4947" spans="1:4" x14ac:dyDescent="0.35">
      <c r="A4947" t="s">
        <v>3552</v>
      </c>
      <c r="B4947" s="8" t="s">
        <v>3553</v>
      </c>
      <c r="C4947" t="s">
        <v>7715</v>
      </c>
      <c r="D4947" s="8" t="s">
        <v>7716</v>
      </c>
    </row>
    <row r="4948" spans="1:4" x14ac:dyDescent="0.35">
      <c r="A4948" t="s">
        <v>3552</v>
      </c>
      <c r="B4948" s="8" t="s">
        <v>3553</v>
      </c>
      <c r="C4948" t="s">
        <v>6572</v>
      </c>
      <c r="D4948" s="8" t="s">
        <v>6573</v>
      </c>
    </row>
    <row r="4949" spans="1:4" x14ac:dyDescent="0.35">
      <c r="A4949" t="s">
        <v>3552</v>
      </c>
      <c r="B4949" s="8" t="s">
        <v>3553</v>
      </c>
      <c r="C4949" t="s">
        <v>7727</v>
      </c>
      <c r="D4949" s="8" t="s">
        <v>7728</v>
      </c>
    </row>
    <row r="4950" spans="1:4" x14ac:dyDescent="0.35">
      <c r="A4950" t="s">
        <v>3554</v>
      </c>
      <c r="B4950" s="8" t="s">
        <v>3555</v>
      </c>
      <c r="C4950" t="s">
        <v>6898</v>
      </c>
      <c r="D4950" s="8" t="s">
        <v>6899</v>
      </c>
    </row>
    <row r="4951" spans="1:4" x14ac:dyDescent="0.35">
      <c r="A4951" t="s">
        <v>3554</v>
      </c>
      <c r="B4951" s="8" t="s">
        <v>3555</v>
      </c>
      <c r="C4951" t="s">
        <v>6862</v>
      </c>
      <c r="D4951" s="8" t="s">
        <v>6863</v>
      </c>
    </row>
    <row r="4952" spans="1:4" x14ac:dyDescent="0.35">
      <c r="A4952" t="s">
        <v>3554</v>
      </c>
      <c r="B4952" s="8" t="s">
        <v>3555</v>
      </c>
      <c r="C4952" t="s">
        <v>6864</v>
      </c>
      <c r="D4952" s="8" t="s">
        <v>6865</v>
      </c>
    </row>
    <row r="4953" spans="1:4" x14ac:dyDescent="0.35">
      <c r="A4953" t="s">
        <v>3554</v>
      </c>
      <c r="B4953" s="8" t="s">
        <v>3555</v>
      </c>
      <c r="C4953" t="s">
        <v>6572</v>
      </c>
      <c r="D4953" s="8" t="s">
        <v>6573</v>
      </c>
    </row>
    <row r="4954" spans="1:4" x14ac:dyDescent="0.35">
      <c r="A4954" t="s">
        <v>3556</v>
      </c>
      <c r="B4954" s="8" t="s">
        <v>3557</v>
      </c>
      <c r="C4954" t="s">
        <v>6862</v>
      </c>
      <c r="D4954" s="8" t="s">
        <v>6863</v>
      </c>
    </row>
    <row r="4955" spans="1:4" x14ac:dyDescent="0.35">
      <c r="A4955" t="s">
        <v>3556</v>
      </c>
      <c r="B4955" s="8" t="s">
        <v>3557</v>
      </c>
      <c r="C4955" t="s">
        <v>6864</v>
      </c>
      <c r="D4955" s="8" t="s">
        <v>6865</v>
      </c>
    </row>
    <row r="4956" spans="1:4" x14ac:dyDescent="0.35">
      <c r="A4956" t="s">
        <v>3556</v>
      </c>
      <c r="B4956" s="8" t="s">
        <v>3557</v>
      </c>
      <c r="C4956" t="s">
        <v>6572</v>
      </c>
      <c r="D4956" s="8" t="s">
        <v>6573</v>
      </c>
    </row>
    <row r="4957" spans="1:4" x14ac:dyDescent="0.35">
      <c r="A4957" t="s">
        <v>3556</v>
      </c>
      <c r="B4957" s="8" t="s">
        <v>3557</v>
      </c>
      <c r="C4957" t="s">
        <v>7727</v>
      </c>
      <c r="D4957" s="8" t="s">
        <v>7728</v>
      </c>
    </row>
    <row r="4958" spans="1:4" x14ac:dyDescent="0.35">
      <c r="A4958" t="s">
        <v>3558</v>
      </c>
      <c r="B4958" s="8" t="s">
        <v>3559</v>
      </c>
      <c r="C4958" t="s">
        <v>6898</v>
      </c>
      <c r="D4958" s="8" t="s">
        <v>6899</v>
      </c>
    </row>
    <row r="4959" spans="1:4" x14ac:dyDescent="0.35">
      <c r="A4959" t="s">
        <v>3558</v>
      </c>
      <c r="B4959" s="8" t="s">
        <v>3559</v>
      </c>
      <c r="C4959" t="s">
        <v>7668</v>
      </c>
      <c r="D4959" s="8" t="s">
        <v>7669</v>
      </c>
    </row>
    <row r="4960" spans="1:4" x14ac:dyDescent="0.35">
      <c r="A4960" t="s">
        <v>3558</v>
      </c>
      <c r="B4960" s="8" t="s">
        <v>3559</v>
      </c>
      <c r="C4960" t="s">
        <v>6862</v>
      </c>
      <c r="D4960" s="8" t="s">
        <v>6863</v>
      </c>
    </row>
    <row r="4961" spans="1:4" x14ac:dyDescent="0.35">
      <c r="A4961" t="s">
        <v>3558</v>
      </c>
      <c r="B4961" s="8" t="s">
        <v>3559</v>
      </c>
      <c r="C4961" t="s">
        <v>6864</v>
      </c>
      <c r="D4961" s="8" t="s">
        <v>6865</v>
      </c>
    </row>
    <row r="4962" spans="1:4" x14ac:dyDescent="0.35">
      <c r="A4962" t="s">
        <v>3558</v>
      </c>
      <c r="B4962" s="8" t="s">
        <v>3559</v>
      </c>
      <c r="C4962" t="s">
        <v>6572</v>
      </c>
      <c r="D4962" s="8" t="s">
        <v>6573</v>
      </c>
    </row>
    <row r="4963" spans="1:4" x14ac:dyDescent="0.35">
      <c r="A4963" t="s">
        <v>3560</v>
      </c>
      <c r="B4963" s="8" t="s">
        <v>3561</v>
      </c>
      <c r="C4963" t="s">
        <v>6898</v>
      </c>
      <c r="D4963" s="8" t="s">
        <v>6899</v>
      </c>
    </row>
    <row r="4964" spans="1:4" x14ac:dyDescent="0.35">
      <c r="A4964" t="s">
        <v>3560</v>
      </c>
      <c r="B4964" s="8" t="s">
        <v>3561</v>
      </c>
      <c r="C4964" t="s">
        <v>7670</v>
      </c>
      <c r="D4964" s="8" t="s">
        <v>7671</v>
      </c>
    </row>
    <row r="4965" spans="1:4" x14ac:dyDescent="0.35">
      <c r="A4965" t="s">
        <v>3560</v>
      </c>
      <c r="B4965" s="8" t="s">
        <v>3561</v>
      </c>
      <c r="C4965" t="s">
        <v>7715</v>
      </c>
      <c r="D4965" s="8" t="s">
        <v>7716</v>
      </c>
    </row>
    <row r="4966" spans="1:4" x14ac:dyDescent="0.35">
      <c r="A4966" t="s">
        <v>3560</v>
      </c>
      <c r="B4966" s="8" t="s">
        <v>3561</v>
      </c>
      <c r="C4966" t="s">
        <v>7713</v>
      </c>
      <c r="D4966" s="8" t="s">
        <v>7714</v>
      </c>
    </row>
    <row r="4967" spans="1:4" x14ac:dyDescent="0.35">
      <c r="A4967" t="s">
        <v>7729</v>
      </c>
      <c r="B4967" s="8" t="s">
        <v>3562</v>
      </c>
      <c r="C4967" t="s">
        <v>6216</v>
      </c>
      <c r="D4967" s="8" t="s">
        <v>6217</v>
      </c>
    </row>
    <row r="4968" spans="1:4" x14ac:dyDescent="0.35">
      <c r="A4968" t="s">
        <v>7729</v>
      </c>
      <c r="B4968" s="8" t="s">
        <v>3562</v>
      </c>
      <c r="C4968" t="s">
        <v>6898</v>
      </c>
      <c r="D4968" s="8" t="s">
        <v>6899</v>
      </c>
    </row>
    <row r="4969" spans="1:4" x14ac:dyDescent="0.35">
      <c r="A4969" t="s">
        <v>7729</v>
      </c>
      <c r="B4969" s="8" t="s">
        <v>3562</v>
      </c>
      <c r="C4969" t="s">
        <v>7670</v>
      </c>
      <c r="D4969" s="8" t="s">
        <v>7671</v>
      </c>
    </row>
    <row r="4970" spans="1:4" x14ac:dyDescent="0.35">
      <c r="A4970" t="s">
        <v>7729</v>
      </c>
      <c r="B4970" s="8" t="s">
        <v>3562</v>
      </c>
      <c r="C4970" t="s">
        <v>6862</v>
      </c>
      <c r="D4970" s="8" t="s">
        <v>6863</v>
      </c>
    </row>
    <row r="4971" spans="1:4" x14ac:dyDescent="0.35">
      <c r="A4971" t="s">
        <v>7729</v>
      </c>
      <c r="B4971" s="8" t="s">
        <v>3562</v>
      </c>
      <c r="C4971" t="s">
        <v>7665</v>
      </c>
      <c r="D4971" s="8" t="s">
        <v>7666</v>
      </c>
    </row>
    <row r="4972" spans="1:4" x14ac:dyDescent="0.35">
      <c r="A4972" t="s">
        <v>7729</v>
      </c>
      <c r="B4972" s="8" t="s">
        <v>3562</v>
      </c>
      <c r="C4972" t="s">
        <v>6864</v>
      </c>
      <c r="D4972" s="8" t="s">
        <v>6865</v>
      </c>
    </row>
    <row r="4973" spans="1:4" x14ac:dyDescent="0.35">
      <c r="A4973" t="s">
        <v>7729</v>
      </c>
      <c r="B4973" s="8" t="s">
        <v>3562</v>
      </c>
      <c r="C4973" t="s">
        <v>6572</v>
      </c>
      <c r="D4973" s="8" t="s">
        <v>6573</v>
      </c>
    </row>
    <row r="4974" spans="1:4" x14ac:dyDescent="0.35">
      <c r="A4974" t="s">
        <v>3563</v>
      </c>
      <c r="B4974" s="8" t="s">
        <v>3564</v>
      </c>
      <c r="C4974" t="s">
        <v>6898</v>
      </c>
      <c r="D4974" s="8" t="s">
        <v>6899</v>
      </c>
    </row>
    <row r="4975" spans="1:4" x14ac:dyDescent="0.35">
      <c r="A4975" t="s">
        <v>3565</v>
      </c>
      <c r="B4975" s="8" t="s">
        <v>3566</v>
      </c>
      <c r="C4975" t="s">
        <v>6477</v>
      </c>
      <c r="D4975" s="8" t="s">
        <v>6478</v>
      </c>
    </row>
    <row r="4976" spans="1:4" x14ac:dyDescent="0.35">
      <c r="A4976" t="s">
        <v>3565</v>
      </c>
      <c r="B4976" s="8" t="s">
        <v>3566</v>
      </c>
      <c r="C4976" t="s">
        <v>6247</v>
      </c>
      <c r="D4976" s="8" t="s">
        <v>6248</v>
      </c>
    </row>
    <row r="4977" spans="1:4" x14ac:dyDescent="0.35">
      <c r="A4977" t="s">
        <v>3565</v>
      </c>
      <c r="B4977" s="8" t="s">
        <v>3566</v>
      </c>
      <c r="C4977" t="s">
        <v>7730</v>
      </c>
      <c r="D4977" s="8" t="s">
        <v>7731</v>
      </c>
    </row>
    <row r="4978" spans="1:4" x14ac:dyDescent="0.35">
      <c r="A4978" t="s">
        <v>3565</v>
      </c>
      <c r="B4978" s="8" t="s">
        <v>3566</v>
      </c>
      <c r="C4978" t="s">
        <v>6457</v>
      </c>
      <c r="D4978" s="8" t="s">
        <v>6458</v>
      </c>
    </row>
    <row r="4979" spans="1:4" x14ac:dyDescent="0.35">
      <c r="A4979" t="s">
        <v>3567</v>
      </c>
      <c r="B4979" s="8" t="s">
        <v>3568</v>
      </c>
      <c r="C4979" t="s">
        <v>6457</v>
      </c>
      <c r="D4979" s="8" t="s">
        <v>6458</v>
      </c>
    </row>
    <row r="4980" spans="1:4" x14ac:dyDescent="0.35">
      <c r="A4980" t="s">
        <v>3567</v>
      </c>
      <c r="B4980" s="8" t="s">
        <v>3568</v>
      </c>
      <c r="C4980" t="s">
        <v>6243</v>
      </c>
      <c r="D4980" s="8" t="s">
        <v>6244</v>
      </c>
    </row>
    <row r="4981" spans="1:4" x14ac:dyDescent="0.35">
      <c r="A4981" t="s">
        <v>3567</v>
      </c>
      <c r="B4981" s="8" t="s">
        <v>3568</v>
      </c>
      <c r="C4981" t="s">
        <v>7732</v>
      </c>
      <c r="D4981" s="8" t="s">
        <v>7733</v>
      </c>
    </row>
    <row r="4982" spans="1:4" x14ac:dyDescent="0.35">
      <c r="A4982" t="s">
        <v>3569</v>
      </c>
      <c r="B4982" s="8" t="s">
        <v>3570</v>
      </c>
      <c r="C4982" t="s">
        <v>6740</v>
      </c>
      <c r="D4982" s="8" t="s">
        <v>6741</v>
      </c>
    </row>
    <row r="4983" spans="1:4" x14ac:dyDescent="0.35">
      <c r="A4983" t="s">
        <v>3569</v>
      </c>
      <c r="B4983" s="8" t="s">
        <v>3570</v>
      </c>
      <c r="C4983" t="s">
        <v>6477</v>
      </c>
      <c r="D4983" s="8" t="s">
        <v>6478</v>
      </c>
    </row>
    <row r="4984" spans="1:4" x14ac:dyDescent="0.35">
      <c r="A4984" t="s">
        <v>3569</v>
      </c>
      <c r="B4984" s="8" t="s">
        <v>3570</v>
      </c>
      <c r="C4984" t="s">
        <v>7730</v>
      </c>
      <c r="D4984" s="8" t="s">
        <v>7731</v>
      </c>
    </row>
    <row r="4985" spans="1:4" x14ac:dyDescent="0.35">
      <c r="A4985" t="s">
        <v>3569</v>
      </c>
      <c r="B4985" s="8" t="s">
        <v>3570</v>
      </c>
      <c r="C4985" t="s">
        <v>7655</v>
      </c>
      <c r="D4985" s="8" t="s">
        <v>7656</v>
      </c>
    </row>
    <row r="4986" spans="1:4" x14ac:dyDescent="0.35">
      <c r="A4986" t="s">
        <v>3571</v>
      </c>
      <c r="B4986" s="8" t="s">
        <v>3572</v>
      </c>
      <c r="C4986" t="s">
        <v>6477</v>
      </c>
      <c r="D4986" s="8" t="s">
        <v>6478</v>
      </c>
    </row>
    <row r="4987" spans="1:4" x14ac:dyDescent="0.35">
      <c r="A4987" t="s">
        <v>3571</v>
      </c>
      <c r="B4987" s="8" t="s">
        <v>3572</v>
      </c>
      <c r="C4987" t="s">
        <v>7730</v>
      </c>
      <c r="D4987" s="8" t="s">
        <v>7731</v>
      </c>
    </row>
    <row r="4988" spans="1:4" x14ac:dyDescent="0.35">
      <c r="A4988" t="s">
        <v>3573</v>
      </c>
      <c r="B4988" s="8" t="s">
        <v>3574</v>
      </c>
      <c r="C4988" t="s">
        <v>6247</v>
      </c>
      <c r="D4988" s="8" t="s">
        <v>6248</v>
      </c>
    </row>
    <row r="4989" spans="1:4" x14ac:dyDescent="0.35">
      <c r="A4989" t="s">
        <v>3573</v>
      </c>
      <c r="B4989" s="8" t="s">
        <v>3574</v>
      </c>
      <c r="C4989" t="s">
        <v>7730</v>
      </c>
      <c r="D4989" s="8" t="s">
        <v>7731</v>
      </c>
    </row>
    <row r="4990" spans="1:4" x14ac:dyDescent="0.35">
      <c r="A4990" t="s">
        <v>3575</v>
      </c>
      <c r="B4990" s="8" t="s">
        <v>3576</v>
      </c>
      <c r="C4990" t="s">
        <v>6772</v>
      </c>
      <c r="D4990" s="8" t="s">
        <v>6773</v>
      </c>
    </row>
    <row r="4991" spans="1:4" x14ac:dyDescent="0.35">
      <c r="A4991" t="s">
        <v>3577</v>
      </c>
      <c r="B4991" s="8" t="s">
        <v>3578</v>
      </c>
      <c r="C4991" t="s">
        <v>7734</v>
      </c>
      <c r="D4991" s="8" t="s">
        <v>7735</v>
      </c>
    </row>
    <row r="4992" spans="1:4" x14ac:dyDescent="0.35">
      <c r="A4992" t="s">
        <v>3577</v>
      </c>
      <c r="B4992" s="8" t="s">
        <v>3578</v>
      </c>
      <c r="C4992" t="s">
        <v>6490</v>
      </c>
      <c r="D4992" s="8" t="s">
        <v>6491</v>
      </c>
    </row>
    <row r="4993" spans="1:4" x14ac:dyDescent="0.35">
      <c r="A4993" t="s">
        <v>3579</v>
      </c>
      <c r="B4993" s="8" t="s">
        <v>3580</v>
      </c>
      <c r="C4993" t="s">
        <v>6477</v>
      </c>
      <c r="D4993" s="8" t="s">
        <v>6478</v>
      </c>
    </row>
    <row r="4994" spans="1:4" x14ac:dyDescent="0.35">
      <c r="A4994" t="s">
        <v>3579</v>
      </c>
      <c r="B4994" s="8" t="s">
        <v>3580</v>
      </c>
      <c r="C4994" t="s">
        <v>7730</v>
      </c>
      <c r="D4994" s="8" t="s">
        <v>7731</v>
      </c>
    </row>
    <row r="4995" spans="1:4" x14ac:dyDescent="0.35">
      <c r="A4995" t="s">
        <v>3579</v>
      </c>
      <c r="B4995" s="8" t="s">
        <v>3580</v>
      </c>
      <c r="C4995" t="s">
        <v>6572</v>
      </c>
      <c r="D4995" s="8" t="s">
        <v>6573</v>
      </c>
    </row>
    <row r="4996" spans="1:4" x14ac:dyDescent="0.35">
      <c r="A4996" t="s">
        <v>7736</v>
      </c>
      <c r="B4996" s="8" t="s">
        <v>3581</v>
      </c>
      <c r="C4996" t="s">
        <v>6477</v>
      </c>
      <c r="D4996" s="8" t="s">
        <v>6478</v>
      </c>
    </row>
    <row r="4997" spans="1:4" x14ac:dyDescent="0.35">
      <c r="A4997" t="s">
        <v>3582</v>
      </c>
      <c r="B4997" s="8" t="s">
        <v>3583</v>
      </c>
      <c r="C4997" t="s">
        <v>6477</v>
      </c>
      <c r="D4997" s="8" t="s">
        <v>6478</v>
      </c>
    </row>
    <row r="4998" spans="1:4" x14ac:dyDescent="0.35">
      <c r="A4998" t="s">
        <v>3582</v>
      </c>
      <c r="B4998" s="8" t="s">
        <v>3583</v>
      </c>
      <c r="C4998" t="s">
        <v>7730</v>
      </c>
      <c r="D4998" s="8" t="s">
        <v>7731</v>
      </c>
    </row>
    <row r="4999" spans="1:4" x14ac:dyDescent="0.35">
      <c r="A4999" t="s">
        <v>3582</v>
      </c>
      <c r="B4999" s="8" t="s">
        <v>3583</v>
      </c>
      <c r="C4999" t="s">
        <v>6243</v>
      </c>
      <c r="D4999" s="8" t="s">
        <v>6244</v>
      </c>
    </row>
    <row r="5000" spans="1:4" x14ac:dyDescent="0.35">
      <c r="A5000" t="s">
        <v>3584</v>
      </c>
      <c r="B5000" s="8" t="s">
        <v>3585</v>
      </c>
      <c r="C5000" t="s">
        <v>7649</v>
      </c>
      <c r="D5000" s="8" t="s">
        <v>7650</v>
      </c>
    </row>
    <row r="5001" spans="1:4" x14ac:dyDescent="0.35">
      <c r="A5001" t="s">
        <v>3584</v>
      </c>
      <c r="B5001" s="8" t="s">
        <v>3585</v>
      </c>
      <c r="C5001" t="s">
        <v>6352</v>
      </c>
      <c r="D5001" s="8" t="s">
        <v>6353</v>
      </c>
    </row>
    <row r="5002" spans="1:4" x14ac:dyDescent="0.35">
      <c r="A5002" t="s">
        <v>3584</v>
      </c>
      <c r="B5002" s="8" t="s">
        <v>3585</v>
      </c>
      <c r="C5002" t="s">
        <v>6354</v>
      </c>
      <c r="D5002" s="8" t="s">
        <v>6355</v>
      </c>
    </row>
    <row r="5003" spans="1:4" x14ac:dyDescent="0.35">
      <c r="A5003" t="s">
        <v>3584</v>
      </c>
      <c r="B5003" s="8" t="s">
        <v>3585</v>
      </c>
      <c r="C5003" t="s">
        <v>6235</v>
      </c>
      <c r="D5003" s="8" t="s">
        <v>6236</v>
      </c>
    </row>
    <row r="5004" spans="1:4" x14ac:dyDescent="0.35">
      <c r="A5004" t="s">
        <v>3584</v>
      </c>
      <c r="B5004" s="8" t="s">
        <v>3585</v>
      </c>
      <c r="C5004" t="s">
        <v>7041</v>
      </c>
      <c r="D5004" s="8" t="s">
        <v>7042</v>
      </c>
    </row>
    <row r="5005" spans="1:4" x14ac:dyDescent="0.35">
      <c r="A5005" t="s">
        <v>3584</v>
      </c>
      <c r="B5005" s="8" t="s">
        <v>3585</v>
      </c>
      <c r="C5005" t="s">
        <v>6919</v>
      </c>
      <c r="D5005" s="8" t="s">
        <v>6920</v>
      </c>
    </row>
    <row r="5006" spans="1:4" x14ac:dyDescent="0.35">
      <c r="A5006" t="s">
        <v>3584</v>
      </c>
      <c r="B5006" s="8" t="s">
        <v>3585</v>
      </c>
      <c r="C5006" t="s">
        <v>7653</v>
      </c>
      <c r="D5006" s="8" t="s">
        <v>7654</v>
      </c>
    </row>
    <row r="5007" spans="1:4" x14ac:dyDescent="0.35">
      <c r="A5007" t="s">
        <v>3584</v>
      </c>
      <c r="B5007" s="8" t="s">
        <v>3585</v>
      </c>
      <c r="C5007" t="s">
        <v>6356</v>
      </c>
      <c r="D5007" s="8" t="s">
        <v>6357</v>
      </c>
    </row>
    <row r="5008" spans="1:4" x14ac:dyDescent="0.35">
      <c r="A5008" t="s">
        <v>3584</v>
      </c>
      <c r="B5008" s="8" t="s">
        <v>3585</v>
      </c>
      <c r="C5008" t="s">
        <v>6572</v>
      </c>
      <c r="D5008" s="8" t="s">
        <v>6573</v>
      </c>
    </row>
    <row r="5009" spans="1:4" x14ac:dyDescent="0.35">
      <c r="A5009" t="s">
        <v>3584</v>
      </c>
      <c r="B5009" s="8" t="s">
        <v>3585</v>
      </c>
      <c r="C5009" t="s">
        <v>7684</v>
      </c>
      <c r="D5009" s="8" t="s">
        <v>7685</v>
      </c>
    </row>
    <row r="5010" spans="1:4" x14ac:dyDescent="0.35">
      <c r="A5010" t="s">
        <v>3586</v>
      </c>
      <c r="B5010" s="8" t="s">
        <v>3587</v>
      </c>
      <c r="C5010" t="s">
        <v>7649</v>
      </c>
      <c r="D5010" s="8" t="s">
        <v>7650</v>
      </c>
    </row>
    <row r="5011" spans="1:4" x14ac:dyDescent="0.35">
      <c r="A5011" t="s">
        <v>3586</v>
      </c>
      <c r="B5011" s="8" t="s">
        <v>3587</v>
      </c>
      <c r="C5011" t="s">
        <v>6352</v>
      </c>
      <c r="D5011" s="8" t="s">
        <v>6353</v>
      </c>
    </row>
    <row r="5012" spans="1:4" x14ac:dyDescent="0.35">
      <c r="A5012" t="s">
        <v>3586</v>
      </c>
      <c r="B5012" s="8" t="s">
        <v>3587</v>
      </c>
      <c r="C5012" t="s">
        <v>6235</v>
      </c>
      <c r="D5012" s="8" t="s">
        <v>6236</v>
      </c>
    </row>
    <row r="5013" spans="1:4" x14ac:dyDescent="0.35">
      <c r="A5013" t="s">
        <v>3586</v>
      </c>
      <c r="B5013" s="8" t="s">
        <v>3587</v>
      </c>
      <c r="C5013" t="s">
        <v>6919</v>
      </c>
      <c r="D5013" s="8" t="s">
        <v>6920</v>
      </c>
    </row>
    <row r="5014" spans="1:4" x14ac:dyDescent="0.35">
      <c r="A5014" t="s">
        <v>3586</v>
      </c>
      <c r="B5014" s="8" t="s">
        <v>3587</v>
      </c>
      <c r="C5014" t="s">
        <v>6572</v>
      </c>
      <c r="D5014" s="8" t="s">
        <v>6573</v>
      </c>
    </row>
    <row r="5015" spans="1:4" x14ac:dyDescent="0.35">
      <c r="A5015" t="s">
        <v>3586</v>
      </c>
      <c r="B5015" s="8" t="s">
        <v>3587</v>
      </c>
      <c r="C5015" t="s">
        <v>6806</v>
      </c>
      <c r="D5015" s="8" t="s">
        <v>6807</v>
      </c>
    </row>
    <row r="5016" spans="1:4" x14ac:dyDescent="0.35">
      <c r="A5016" t="s">
        <v>3588</v>
      </c>
      <c r="B5016" s="8" t="s">
        <v>3589</v>
      </c>
      <c r="C5016" t="s">
        <v>7649</v>
      </c>
      <c r="D5016" s="8" t="s">
        <v>7650</v>
      </c>
    </row>
    <row r="5017" spans="1:4" x14ac:dyDescent="0.35">
      <c r="A5017" t="s">
        <v>3588</v>
      </c>
      <c r="B5017" s="8" t="s">
        <v>3589</v>
      </c>
      <c r="C5017" t="s">
        <v>6352</v>
      </c>
      <c r="D5017" s="8" t="s">
        <v>6353</v>
      </c>
    </row>
    <row r="5018" spans="1:4" x14ac:dyDescent="0.35">
      <c r="A5018" t="s">
        <v>3588</v>
      </c>
      <c r="B5018" s="8" t="s">
        <v>3589</v>
      </c>
      <c r="C5018" t="s">
        <v>6354</v>
      </c>
      <c r="D5018" s="8" t="s">
        <v>6355</v>
      </c>
    </row>
    <row r="5019" spans="1:4" x14ac:dyDescent="0.35">
      <c r="A5019" t="s">
        <v>3588</v>
      </c>
      <c r="B5019" s="8" t="s">
        <v>3589</v>
      </c>
      <c r="C5019" t="s">
        <v>7041</v>
      </c>
      <c r="D5019" s="8" t="s">
        <v>7042</v>
      </c>
    </row>
    <row r="5020" spans="1:4" x14ac:dyDescent="0.35">
      <c r="A5020" t="s">
        <v>3588</v>
      </c>
      <c r="B5020" s="8" t="s">
        <v>3589</v>
      </c>
      <c r="C5020" t="s">
        <v>6572</v>
      </c>
      <c r="D5020" s="8" t="s">
        <v>6573</v>
      </c>
    </row>
    <row r="5021" spans="1:4" x14ac:dyDescent="0.35">
      <c r="A5021" t="s">
        <v>3590</v>
      </c>
      <c r="B5021" s="8" t="s">
        <v>3591</v>
      </c>
      <c r="C5021" t="s">
        <v>6352</v>
      </c>
      <c r="D5021" s="8" t="s">
        <v>6353</v>
      </c>
    </row>
    <row r="5022" spans="1:4" x14ac:dyDescent="0.35">
      <c r="A5022" t="s">
        <v>3590</v>
      </c>
      <c r="B5022" s="8" t="s">
        <v>3591</v>
      </c>
      <c r="C5022" t="s">
        <v>6919</v>
      </c>
      <c r="D5022" s="8" t="s">
        <v>6920</v>
      </c>
    </row>
    <row r="5023" spans="1:4" x14ac:dyDescent="0.35">
      <c r="A5023" t="s">
        <v>3590</v>
      </c>
      <c r="B5023" s="8" t="s">
        <v>3591</v>
      </c>
      <c r="C5023" t="s">
        <v>6572</v>
      </c>
      <c r="D5023" s="8" t="s">
        <v>6573</v>
      </c>
    </row>
    <row r="5024" spans="1:4" x14ac:dyDescent="0.35">
      <c r="A5024" t="s">
        <v>3592</v>
      </c>
      <c r="B5024" s="8" t="s">
        <v>3593</v>
      </c>
      <c r="C5024" t="s">
        <v>6356</v>
      </c>
      <c r="D5024" s="8" t="s">
        <v>6357</v>
      </c>
    </row>
    <row r="5025" spans="1:4" x14ac:dyDescent="0.35">
      <c r="A5025" t="s">
        <v>7737</v>
      </c>
      <c r="B5025" s="8" t="s">
        <v>3594</v>
      </c>
      <c r="C5025" t="s">
        <v>6352</v>
      </c>
      <c r="D5025" s="8" t="s">
        <v>6353</v>
      </c>
    </row>
    <row r="5026" spans="1:4" x14ac:dyDescent="0.35">
      <c r="A5026" t="s">
        <v>7737</v>
      </c>
      <c r="B5026" s="8" t="s">
        <v>3594</v>
      </c>
      <c r="C5026" t="s">
        <v>6354</v>
      </c>
      <c r="D5026" s="8" t="s">
        <v>6355</v>
      </c>
    </row>
    <row r="5027" spans="1:4" x14ac:dyDescent="0.35">
      <c r="A5027" t="s">
        <v>7737</v>
      </c>
      <c r="B5027" s="8" t="s">
        <v>3594</v>
      </c>
      <c r="C5027" t="s">
        <v>7041</v>
      </c>
      <c r="D5027" s="8" t="s">
        <v>7042</v>
      </c>
    </row>
    <row r="5028" spans="1:4" x14ac:dyDescent="0.35">
      <c r="A5028" t="s">
        <v>7737</v>
      </c>
      <c r="B5028" s="8" t="s">
        <v>3594</v>
      </c>
      <c r="C5028" t="s">
        <v>6356</v>
      </c>
      <c r="D5028" s="8" t="s">
        <v>6357</v>
      </c>
    </row>
    <row r="5029" spans="1:4" x14ac:dyDescent="0.35">
      <c r="A5029" t="s">
        <v>7737</v>
      </c>
      <c r="B5029" s="8" t="s">
        <v>3594</v>
      </c>
      <c r="C5029" t="s">
        <v>6556</v>
      </c>
      <c r="D5029" s="8" t="s">
        <v>6557</v>
      </c>
    </row>
    <row r="5030" spans="1:4" x14ac:dyDescent="0.35">
      <c r="A5030" t="s">
        <v>7737</v>
      </c>
      <c r="B5030" s="8" t="s">
        <v>3594</v>
      </c>
      <c r="C5030" t="s">
        <v>6956</v>
      </c>
      <c r="D5030" s="8" t="s">
        <v>6957</v>
      </c>
    </row>
    <row r="5031" spans="1:4" x14ac:dyDescent="0.35">
      <c r="A5031" t="s">
        <v>3595</v>
      </c>
      <c r="B5031" s="8" t="s">
        <v>3596</v>
      </c>
      <c r="C5031" t="s">
        <v>7041</v>
      </c>
      <c r="D5031" s="8" t="s">
        <v>7042</v>
      </c>
    </row>
    <row r="5032" spans="1:4" x14ac:dyDescent="0.35">
      <c r="A5032" t="s">
        <v>3595</v>
      </c>
      <c r="B5032" s="8" t="s">
        <v>3596</v>
      </c>
      <c r="C5032" t="s">
        <v>7684</v>
      </c>
      <c r="D5032" s="8" t="s">
        <v>7685</v>
      </c>
    </row>
    <row r="5033" spans="1:4" x14ac:dyDescent="0.35">
      <c r="A5033" t="s">
        <v>3597</v>
      </c>
      <c r="B5033" s="8" t="s">
        <v>3598</v>
      </c>
      <c r="C5033" t="s">
        <v>7082</v>
      </c>
      <c r="D5033" s="8" t="s">
        <v>7083</v>
      </c>
    </row>
    <row r="5034" spans="1:4" x14ac:dyDescent="0.35">
      <c r="A5034" t="s">
        <v>3597</v>
      </c>
      <c r="B5034" s="8" t="s">
        <v>3598</v>
      </c>
      <c r="C5034" t="s">
        <v>6216</v>
      </c>
      <c r="D5034" s="8" t="s">
        <v>6217</v>
      </c>
    </row>
    <row r="5035" spans="1:4" x14ac:dyDescent="0.35">
      <c r="A5035" t="s">
        <v>3597</v>
      </c>
      <c r="B5035" s="8" t="s">
        <v>3598</v>
      </c>
      <c r="C5035" t="s">
        <v>7655</v>
      </c>
      <c r="D5035" s="8" t="s">
        <v>7656</v>
      </c>
    </row>
    <row r="5036" spans="1:4" x14ac:dyDescent="0.35">
      <c r="A5036" t="s">
        <v>3597</v>
      </c>
      <c r="B5036" s="8" t="s">
        <v>3598</v>
      </c>
      <c r="C5036" t="s">
        <v>6572</v>
      </c>
      <c r="D5036" s="8" t="s">
        <v>6573</v>
      </c>
    </row>
    <row r="5037" spans="1:4" x14ac:dyDescent="0.35">
      <c r="A5037" t="s">
        <v>3599</v>
      </c>
      <c r="B5037" s="8" t="s">
        <v>3600</v>
      </c>
      <c r="C5037" t="s">
        <v>6394</v>
      </c>
      <c r="D5037" s="8" t="s">
        <v>6395</v>
      </c>
    </row>
    <row r="5038" spans="1:4" x14ac:dyDescent="0.35">
      <c r="A5038" t="s">
        <v>3599</v>
      </c>
      <c r="B5038" s="8" t="s">
        <v>3600</v>
      </c>
      <c r="C5038" t="s">
        <v>6404</v>
      </c>
      <c r="D5038" s="8" t="s">
        <v>6405</v>
      </c>
    </row>
    <row r="5039" spans="1:4" x14ac:dyDescent="0.35">
      <c r="A5039" t="s">
        <v>3599</v>
      </c>
      <c r="B5039" s="8" t="s">
        <v>3600</v>
      </c>
      <c r="C5039" t="s">
        <v>6423</v>
      </c>
      <c r="D5039" s="8" t="s">
        <v>6424</v>
      </c>
    </row>
    <row r="5040" spans="1:4" x14ac:dyDescent="0.35">
      <c r="A5040" t="s">
        <v>3599</v>
      </c>
      <c r="B5040" s="8" t="s">
        <v>3600</v>
      </c>
      <c r="C5040" t="s">
        <v>6412</v>
      </c>
      <c r="D5040" s="8" t="s">
        <v>6413</v>
      </c>
    </row>
    <row r="5041" spans="1:4" x14ac:dyDescent="0.35">
      <c r="A5041" t="s">
        <v>3601</v>
      </c>
      <c r="B5041" s="8" t="s">
        <v>3602</v>
      </c>
      <c r="C5041" t="s">
        <v>6394</v>
      </c>
      <c r="D5041" s="8" t="s">
        <v>6395</v>
      </c>
    </row>
    <row r="5042" spans="1:4" x14ac:dyDescent="0.35">
      <c r="A5042" t="s">
        <v>3601</v>
      </c>
      <c r="B5042" s="8" t="s">
        <v>3602</v>
      </c>
      <c r="C5042" t="s">
        <v>6412</v>
      </c>
      <c r="D5042" s="8" t="s">
        <v>6413</v>
      </c>
    </row>
    <row r="5043" spans="1:4" x14ac:dyDescent="0.35">
      <c r="A5043" t="s">
        <v>3603</v>
      </c>
      <c r="B5043" s="8" t="s">
        <v>3604</v>
      </c>
      <c r="C5043" t="s">
        <v>6394</v>
      </c>
      <c r="D5043" s="8" t="s">
        <v>6395</v>
      </c>
    </row>
    <row r="5044" spans="1:4" x14ac:dyDescent="0.35">
      <c r="A5044" t="s">
        <v>3603</v>
      </c>
      <c r="B5044" s="8" t="s">
        <v>3604</v>
      </c>
      <c r="C5044" t="s">
        <v>6412</v>
      </c>
      <c r="D5044" s="8" t="s">
        <v>6413</v>
      </c>
    </row>
    <row r="5045" spans="1:4" x14ac:dyDescent="0.35">
      <c r="A5045" t="s">
        <v>3605</v>
      </c>
      <c r="B5045" s="8" t="s">
        <v>3606</v>
      </c>
      <c r="C5045" t="s">
        <v>6394</v>
      </c>
      <c r="D5045" s="8" t="s">
        <v>6395</v>
      </c>
    </row>
    <row r="5046" spans="1:4" x14ac:dyDescent="0.35">
      <c r="A5046" t="s">
        <v>3605</v>
      </c>
      <c r="B5046" s="8" t="s">
        <v>3606</v>
      </c>
      <c r="C5046" t="s">
        <v>6412</v>
      </c>
      <c r="D5046" s="8" t="s">
        <v>6413</v>
      </c>
    </row>
    <row r="5047" spans="1:4" x14ac:dyDescent="0.35">
      <c r="A5047" t="s">
        <v>3607</v>
      </c>
      <c r="B5047" s="8" t="s">
        <v>3608</v>
      </c>
      <c r="C5047" t="s">
        <v>7082</v>
      </c>
      <c r="D5047" s="8" t="s">
        <v>7083</v>
      </c>
    </row>
    <row r="5048" spans="1:4" x14ac:dyDescent="0.35">
      <c r="A5048" t="s">
        <v>3607</v>
      </c>
      <c r="B5048" s="8" t="s">
        <v>3608</v>
      </c>
      <c r="C5048" t="s">
        <v>6216</v>
      </c>
      <c r="D5048" s="8" t="s">
        <v>6217</v>
      </c>
    </row>
    <row r="5049" spans="1:4" x14ac:dyDescent="0.35">
      <c r="A5049" t="s">
        <v>3607</v>
      </c>
      <c r="B5049" s="8" t="s">
        <v>3608</v>
      </c>
      <c r="C5049" t="s">
        <v>6535</v>
      </c>
      <c r="D5049" s="8" t="s">
        <v>6536</v>
      </c>
    </row>
    <row r="5050" spans="1:4" x14ac:dyDescent="0.35">
      <c r="A5050" t="s">
        <v>3607</v>
      </c>
      <c r="B5050" s="8" t="s">
        <v>3608</v>
      </c>
      <c r="C5050" t="s">
        <v>6660</v>
      </c>
      <c r="D5050" s="8" t="s">
        <v>6661</v>
      </c>
    </row>
    <row r="5051" spans="1:4" x14ac:dyDescent="0.35">
      <c r="A5051" t="s">
        <v>3607</v>
      </c>
      <c r="B5051" s="8" t="s">
        <v>3608</v>
      </c>
      <c r="C5051" t="s">
        <v>6416</v>
      </c>
      <c r="D5051" s="8" t="s">
        <v>6417</v>
      </c>
    </row>
    <row r="5052" spans="1:4" x14ac:dyDescent="0.35">
      <c r="A5052" t="s">
        <v>3607</v>
      </c>
      <c r="B5052" s="8" t="s">
        <v>3608</v>
      </c>
      <c r="C5052" t="s">
        <v>6572</v>
      </c>
      <c r="D5052" s="8" t="s">
        <v>6573</v>
      </c>
    </row>
    <row r="5053" spans="1:4" x14ac:dyDescent="0.35">
      <c r="A5053" t="s">
        <v>3609</v>
      </c>
      <c r="B5053" s="8" t="s">
        <v>3610</v>
      </c>
      <c r="C5053" t="s">
        <v>6537</v>
      </c>
      <c r="D5053" s="8" t="s">
        <v>6538</v>
      </c>
    </row>
    <row r="5054" spans="1:4" x14ac:dyDescent="0.35">
      <c r="A5054" t="s">
        <v>3609</v>
      </c>
      <c r="B5054" s="8" t="s">
        <v>3610</v>
      </c>
      <c r="C5054" t="s">
        <v>6416</v>
      </c>
      <c r="D5054" s="8" t="s">
        <v>6417</v>
      </c>
    </row>
    <row r="5055" spans="1:4" x14ac:dyDescent="0.35">
      <c r="A5055" t="s">
        <v>3609</v>
      </c>
      <c r="B5055" s="8" t="s">
        <v>3610</v>
      </c>
      <c r="C5055" t="s">
        <v>6542</v>
      </c>
      <c r="D5055" s="8" t="s">
        <v>6543</v>
      </c>
    </row>
    <row r="5056" spans="1:4" x14ac:dyDescent="0.35">
      <c r="A5056" t="s">
        <v>3609</v>
      </c>
      <c r="B5056" s="8" t="s">
        <v>3610</v>
      </c>
      <c r="C5056" t="s">
        <v>6572</v>
      </c>
      <c r="D5056" s="8" t="s">
        <v>6573</v>
      </c>
    </row>
    <row r="5057" spans="1:4" x14ac:dyDescent="0.35">
      <c r="A5057" t="s">
        <v>3609</v>
      </c>
      <c r="B5057" s="8" t="s">
        <v>3610</v>
      </c>
      <c r="C5057" t="s">
        <v>6580</v>
      </c>
      <c r="D5057" s="8" t="s">
        <v>6581</v>
      </c>
    </row>
    <row r="5058" spans="1:4" x14ac:dyDescent="0.35">
      <c r="A5058" t="s">
        <v>3611</v>
      </c>
      <c r="B5058" s="8" t="s">
        <v>3612</v>
      </c>
      <c r="C5058" t="s">
        <v>7665</v>
      </c>
      <c r="D5058" s="8" t="s">
        <v>7666</v>
      </c>
    </row>
    <row r="5059" spans="1:4" x14ac:dyDescent="0.35">
      <c r="A5059" t="s">
        <v>3611</v>
      </c>
      <c r="B5059" s="8" t="s">
        <v>3612</v>
      </c>
      <c r="C5059" t="s">
        <v>6864</v>
      </c>
      <c r="D5059" s="8" t="s">
        <v>6865</v>
      </c>
    </row>
    <row r="5060" spans="1:4" x14ac:dyDescent="0.35">
      <c r="A5060" t="s">
        <v>3611</v>
      </c>
      <c r="B5060" s="8" t="s">
        <v>3612</v>
      </c>
      <c r="C5060" t="s">
        <v>6860</v>
      </c>
      <c r="D5060" s="8" t="s">
        <v>6861</v>
      </c>
    </row>
    <row r="5061" spans="1:4" x14ac:dyDescent="0.35">
      <c r="A5061" t="s">
        <v>3611</v>
      </c>
      <c r="B5061" s="8" t="s">
        <v>3612</v>
      </c>
      <c r="C5061" t="s">
        <v>6572</v>
      </c>
      <c r="D5061" s="8" t="s">
        <v>6573</v>
      </c>
    </row>
    <row r="5062" spans="1:4" x14ac:dyDescent="0.35">
      <c r="A5062" t="s">
        <v>3613</v>
      </c>
      <c r="B5062" s="8" t="s">
        <v>3614</v>
      </c>
      <c r="C5062" t="s">
        <v>6163</v>
      </c>
      <c r="D5062" s="8" t="s">
        <v>6164</v>
      </c>
    </row>
    <row r="5063" spans="1:4" x14ac:dyDescent="0.35">
      <c r="A5063" t="s">
        <v>3615</v>
      </c>
      <c r="B5063" s="8" t="s">
        <v>3616</v>
      </c>
      <c r="C5063" t="s">
        <v>6350</v>
      </c>
      <c r="D5063" s="8" t="s">
        <v>6351</v>
      </c>
    </row>
    <row r="5064" spans="1:4" x14ac:dyDescent="0.35">
      <c r="A5064" t="s">
        <v>3615</v>
      </c>
      <c r="B5064" s="8" t="s">
        <v>3616</v>
      </c>
      <c r="C5064" t="s">
        <v>6760</v>
      </c>
      <c r="D5064" s="8" t="s">
        <v>6761</v>
      </c>
    </row>
    <row r="5065" spans="1:4" x14ac:dyDescent="0.35">
      <c r="A5065" t="s">
        <v>3615</v>
      </c>
      <c r="B5065" s="8" t="s">
        <v>3616</v>
      </c>
      <c r="C5065" t="s">
        <v>6762</v>
      </c>
      <c r="D5065" s="8" t="s">
        <v>6763</v>
      </c>
    </row>
    <row r="5066" spans="1:4" x14ac:dyDescent="0.35">
      <c r="A5066" t="s">
        <v>3615</v>
      </c>
      <c r="B5066" s="8" t="s">
        <v>3616</v>
      </c>
      <c r="C5066" t="s">
        <v>6321</v>
      </c>
      <c r="D5066" s="8" t="s">
        <v>6322</v>
      </c>
    </row>
    <row r="5067" spans="1:4" x14ac:dyDescent="0.35">
      <c r="A5067" t="s">
        <v>3615</v>
      </c>
      <c r="B5067" s="8" t="s">
        <v>3616</v>
      </c>
      <c r="C5067" t="s">
        <v>6323</v>
      </c>
      <c r="D5067" s="8" t="s">
        <v>6324</v>
      </c>
    </row>
    <row r="5068" spans="1:4" x14ac:dyDescent="0.35">
      <c r="A5068" t="s">
        <v>3615</v>
      </c>
      <c r="B5068" s="8" t="s">
        <v>3616</v>
      </c>
      <c r="C5068" t="s">
        <v>6764</v>
      </c>
      <c r="D5068" s="8" t="s">
        <v>6765</v>
      </c>
    </row>
    <row r="5069" spans="1:4" x14ac:dyDescent="0.35">
      <c r="A5069" t="s">
        <v>3615</v>
      </c>
      <c r="B5069" s="8" t="s">
        <v>3616</v>
      </c>
      <c r="C5069" t="s">
        <v>6572</v>
      </c>
      <c r="D5069" s="8" t="s">
        <v>6573</v>
      </c>
    </row>
    <row r="5070" spans="1:4" x14ac:dyDescent="0.35">
      <c r="A5070" t="s">
        <v>3617</v>
      </c>
      <c r="B5070" s="8" t="s">
        <v>3618</v>
      </c>
      <c r="C5070" t="s">
        <v>6760</v>
      </c>
      <c r="D5070" s="8" t="s">
        <v>6761</v>
      </c>
    </row>
    <row r="5071" spans="1:4" x14ac:dyDescent="0.35">
      <c r="A5071" t="s">
        <v>3617</v>
      </c>
      <c r="B5071" s="8" t="s">
        <v>3618</v>
      </c>
      <c r="C5071" t="s">
        <v>6764</v>
      </c>
      <c r="D5071" s="8" t="s">
        <v>6765</v>
      </c>
    </row>
    <row r="5072" spans="1:4" x14ac:dyDescent="0.35">
      <c r="A5072" t="s">
        <v>3617</v>
      </c>
      <c r="B5072" s="8" t="s">
        <v>3618</v>
      </c>
      <c r="C5072" t="s">
        <v>6542</v>
      </c>
      <c r="D5072" s="8" t="s">
        <v>6543</v>
      </c>
    </row>
    <row r="5073" spans="1:4" x14ac:dyDescent="0.35">
      <c r="A5073" t="s">
        <v>3617</v>
      </c>
      <c r="B5073" s="8" t="s">
        <v>3618</v>
      </c>
      <c r="C5073" t="s">
        <v>6572</v>
      </c>
      <c r="D5073" s="8" t="s">
        <v>6573</v>
      </c>
    </row>
    <row r="5074" spans="1:4" x14ac:dyDescent="0.35">
      <c r="A5074" t="s">
        <v>3619</v>
      </c>
      <c r="B5074" s="8" t="s">
        <v>3620</v>
      </c>
      <c r="C5074" t="s">
        <v>6760</v>
      </c>
      <c r="D5074" s="8" t="s">
        <v>6761</v>
      </c>
    </row>
    <row r="5075" spans="1:4" x14ac:dyDescent="0.35">
      <c r="A5075" t="s">
        <v>3619</v>
      </c>
      <c r="B5075" s="8" t="s">
        <v>3620</v>
      </c>
      <c r="C5075" t="s">
        <v>6764</v>
      </c>
      <c r="D5075" s="8" t="s">
        <v>6765</v>
      </c>
    </row>
    <row r="5076" spans="1:4" x14ac:dyDescent="0.35">
      <c r="A5076" t="s">
        <v>3619</v>
      </c>
      <c r="B5076" s="8" t="s">
        <v>3620</v>
      </c>
      <c r="C5076" t="s">
        <v>6572</v>
      </c>
      <c r="D5076" s="8" t="s">
        <v>6573</v>
      </c>
    </row>
    <row r="5077" spans="1:4" x14ac:dyDescent="0.35">
      <c r="A5077" t="s">
        <v>7738</v>
      </c>
      <c r="B5077" s="8" t="s">
        <v>3621</v>
      </c>
      <c r="C5077" t="s">
        <v>6760</v>
      </c>
      <c r="D5077" s="8" t="s">
        <v>6761</v>
      </c>
    </row>
    <row r="5078" spans="1:4" x14ac:dyDescent="0.35">
      <c r="A5078" t="s">
        <v>7738</v>
      </c>
      <c r="B5078" s="8" t="s">
        <v>3621</v>
      </c>
      <c r="C5078" t="s">
        <v>6764</v>
      </c>
      <c r="D5078" s="8" t="s">
        <v>6765</v>
      </c>
    </row>
    <row r="5079" spans="1:4" x14ac:dyDescent="0.35">
      <c r="A5079" t="s">
        <v>7738</v>
      </c>
      <c r="B5079" s="8" t="s">
        <v>3621</v>
      </c>
      <c r="C5079" t="s">
        <v>6348</v>
      </c>
      <c r="D5079" s="8" t="s">
        <v>6349</v>
      </c>
    </row>
    <row r="5080" spans="1:4" x14ac:dyDescent="0.35">
      <c r="A5080" t="s">
        <v>7738</v>
      </c>
      <c r="B5080" s="8" t="s">
        <v>3621</v>
      </c>
      <c r="C5080" t="s">
        <v>6572</v>
      </c>
      <c r="D5080" s="8" t="s">
        <v>6573</v>
      </c>
    </row>
    <row r="5081" spans="1:4" x14ac:dyDescent="0.35">
      <c r="A5081" t="s">
        <v>3622</v>
      </c>
      <c r="B5081" s="8" t="s">
        <v>3623</v>
      </c>
      <c r="C5081" t="s">
        <v>6760</v>
      </c>
      <c r="D5081" s="8" t="s">
        <v>6761</v>
      </c>
    </row>
    <row r="5082" spans="1:4" x14ac:dyDescent="0.35">
      <c r="A5082" t="s">
        <v>3622</v>
      </c>
      <c r="B5082" s="8" t="s">
        <v>3623</v>
      </c>
      <c r="C5082" t="s">
        <v>6764</v>
      </c>
      <c r="D5082" s="8" t="s">
        <v>6765</v>
      </c>
    </row>
    <row r="5083" spans="1:4" x14ac:dyDescent="0.35">
      <c r="A5083" t="s">
        <v>3622</v>
      </c>
      <c r="B5083" s="8" t="s">
        <v>3623</v>
      </c>
      <c r="C5083" t="s">
        <v>6572</v>
      </c>
      <c r="D5083" s="8" t="s">
        <v>6573</v>
      </c>
    </row>
    <row r="5084" spans="1:4" x14ac:dyDescent="0.35">
      <c r="A5084" t="s">
        <v>3624</v>
      </c>
      <c r="B5084" s="8" t="s">
        <v>3625</v>
      </c>
      <c r="C5084" t="s">
        <v>6302</v>
      </c>
      <c r="D5084" s="8" t="s">
        <v>6303</v>
      </c>
    </row>
    <row r="5085" spans="1:4" x14ac:dyDescent="0.35">
      <c r="A5085" t="s">
        <v>3624</v>
      </c>
      <c r="B5085" s="8" t="s">
        <v>3625</v>
      </c>
      <c r="C5085" t="s">
        <v>7431</v>
      </c>
      <c r="D5085" s="8" t="s">
        <v>7432</v>
      </c>
    </row>
    <row r="5086" spans="1:4" x14ac:dyDescent="0.35">
      <c r="A5086" t="s">
        <v>3624</v>
      </c>
      <c r="B5086" s="8" t="s">
        <v>3625</v>
      </c>
      <c r="C5086" t="s">
        <v>6304</v>
      </c>
      <c r="D5086" s="8" t="s">
        <v>6305</v>
      </c>
    </row>
    <row r="5087" spans="1:4" x14ac:dyDescent="0.35">
      <c r="A5087" t="s">
        <v>3624</v>
      </c>
      <c r="B5087" s="8" t="s">
        <v>3625</v>
      </c>
      <c r="C5087" t="s">
        <v>6306</v>
      </c>
      <c r="D5087" s="8" t="s">
        <v>6307</v>
      </c>
    </row>
    <row r="5088" spans="1:4" x14ac:dyDescent="0.35">
      <c r="A5088" t="s">
        <v>3624</v>
      </c>
      <c r="B5088" s="8" t="s">
        <v>3625</v>
      </c>
      <c r="C5088" t="s">
        <v>6308</v>
      </c>
      <c r="D5088" s="8" t="s">
        <v>6309</v>
      </c>
    </row>
    <row r="5089" spans="1:4" x14ac:dyDescent="0.35">
      <c r="A5089" t="s">
        <v>3626</v>
      </c>
      <c r="B5089" s="8" t="s">
        <v>3627</v>
      </c>
      <c r="C5089" t="s">
        <v>6900</v>
      </c>
      <c r="D5089" s="8" t="s">
        <v>6901</v>
      </c>
    </row>
    <row r="5090" spans="1:4" x14ac:dyDescent="0.35">
      <c r="A5090" t="s">
        <v>3626</v>
      </c>
      <c r="B5090" s="8" t="s">
        <v>3627</v>
      </c>
      <c r="C5090" t="s">
        <v>7431</v>
      </c>
      <c r="D5090" s="8" t="s">
        <v>7432</v>
      </c>
    </row>
    <row r="5091" spans="1:4" x14ac:dyDescent="0.35">
      <c r="A5091" t="s">
        <v>3626</v>
      </c>
      <c r="B5091" s="8" t="s">
        <v>3627</v>
      </c>
      <c r="C5091" t="s">
        <v>7067</v>
      </c>
      <c r="D5091" s="8" t="s">
        <v>7068</v>
      </c>
    </row>
    <row r="5092" spans="1:4" x14ac:dyDescent="0.35">
      <c r="A5092" t="s">
        <v>3626</v>
      </c>
      <c r="B5092" s="8" t="s">
        <v>3627</v>
      </c>
      <c r="C5092" t="s">
        <v>7672</v>
      </c>
      <c r="D5092" s="8" t="s">
        <v>7673</v>
      </c>
    </row>
    <row r="5093" spans="1:4" x14ac:dyDescent="0.35">
      <c r="A5093" t="s">
        <v>3626</v>
      </c>
      <c r="B5093" s="8" t="s">
        <v>3627</v>
      </c>
      <c r="C5093" t="s">
        <v>7674</v>
      </c>
      <c r="D5093" s="8" t="s">
        <v>7675</v>
      </c>
    </row>
    <row r="5094" spans="1:4" x14ac:dyDescent="0.35">
      <c r="A5094" t="s">
        <v>3628</v>
      </c>
      <c r="B5094" s="8" t="s">
        <v>3629</v>
      </c>
      <c r="C5094" t="s">
        <v>7649</v>
      </c>
      <c r="D5094" s="8" t="s">
        <v>7650</v>
      </c>
    </row>
    <row r="5095" spans="1:4" x14ac:dyDescent="0.35">
      <c r="A5095" t="s">
        <v>3628</v>
      </c>
      <c r="B5095" s="8" t="s">
        <v>3629</v>
      </c>
      <c r="C5095" t="s">
        <v>7473</v>
      </c>
      <c r="D5095" s="8" t="s">
        <v>7474</v>
      </c>
    </row>
    <row r="5096" spans="1:4" x14ac:dyDescent="0.35">
      <c r="A5096" t="s">
        <v>3628</v>
      </c>
      <c r="B5096" s="8" t="s">
        <v>3629</v>
      </c>
      <c r="C5096" t="s">
        <v>7229</v>
      </c>
      <c r="D5096" s="8" t="s">
        <v>7230</v>
      </c>
    </row>
    <row r="5097" spans="1:4" x14ac:dyDescent="0.35">
      <c r="A5097" t="s">
        <v>3628</v>
      </c>
      <c r="B5097" s="8" t="s">
        <v>3629</v>
      </c>
      <c r="C5097" t="s">
        <v>7653</v>
      </c>
      <c r="D5097" s="8" t="s">
        <v>7654</v>
      </c>
    </row>
    <row r="5098" spans="1:4" x14ac:dyDescent="0.35">
      <c r="A5098" t="s">
        <v>3628</v>
      </c>
      <c r="B5098" s="8" t="s">
        <v>3629</v>
      </c>
      <c r="C5098" t="s">
        <v>7431</v>
      </c>
      <c r="D5098" s="8" t="s">
        <v>7432</v>
      </c>
    </row>
    <row r="5099" spans="1:4" x14ac:dyDescent="0.35">
      <c r="A5099" t="s">
        <v>3628</v>
      </c>
      <c r="B5099" s="8" t="s">
        <v>3629</v>
      </c>
      <c r="C5099" t="s">
        <v>7665</v>
      </c>
      <c r="D5099" s="8" t="s">
        <v>7666</v>
      </c>
    </row>
    <row r="5100" spans="1:4" x14ac:dyDescent="0.35">
      <c r="A5100" t="s">
        <v>3628</v>
      </c>
      <c r="B5100" s="8" t="s">
        <v>3629</v>
      </c>
      <c r="C5100" t="s">
        <v>6572</v>
      </c>
      <c r="D5100" s="8" t="s">
        <v>6573</v>
      </c>
    </row>
    <row r="5101" spans="1:4" x14ac:dyDescent="0.35">
      <c r="A5101" t="s">
        <v>3628</v>
      </c>
      <c r="B5101" s="8" t="s">
        <v>3629</v>
      </c>
      <c r="C5101" t="s">
        <v>7739</v>
      </c>
      <c r="D5101" s="8" t="s">
        <v>7740</v>
      </c>
    </row>
    <row r="5102" spans="1:4" x14ac:dyDescent="0.35">
      <c r="A5102" t="s">
        <v>3630</v>
      </c>
      <c r="B5102" s="8" t="s">
        <v>3631</v>
      </c>
      <c r="C5102" t="s">
        <v>6485</v>
      </c>
      <c r="D5102" s="8" t="s">
        <v>6486</v>
      </c>
    </row>
    <row r="5103" spans="1:4" x14ac:dyDescent="0.35">
      <c r="A5103" t="s">
        <v>3630</v>
      </c>
      <c r="B5103" s="8" t="s">
        <v>3631</v>
      </c>
      <c r="C5103" t="s">
        <v>7659</v>
      </c>
      <c r="D5103" s="8" t="s">
        <v>7660</v>
      </c>
    </row>
    <row r="5104" spans="1:4" x14ac:dyDescent="0.35">
      <c r="A5104" t="s">
        <v>3630</v>
      </c>
      <c r="B5104" s="8" t="s">
        <v>3631</v>
      </c>
      <c r="C5104" t="s">
        <v>6572</v>
      </c>
      <c r="D5104" s="8" t="s">
        <v>6573</v>
      </c>
    </row>
    <row r="5105" spans="1:4" ht="29" x14ac:dyDescent="0.35">
      <c r="A5105" t="s">
        <v>3630</v>
      </c>
      <c r="B5105" s="8" t="s">
        <v>3631</v>
      </c>
      <c r="C5105" t="s">
        <v>6129</v>
      </c>
      <c r="D5105" s="8" t="s">
        <v>6130</v>
      </c>
    </row>
    <row r="5106" spans="1:4" x14ac:dyDescent="0.35">
      <c r="A5106" t="s">
        <v>3632</v>
      </c>
      <c r="B5106" s="8" t="s">
        <v>3633</v>
      </c>
      <c r="C5106" t="s">
        <v>6485</v>
      </c>
      <c r="D5106" s="8" t="s">
        <v>6486</v>
      </c>
    </row>
    <row r="5107" spans="1:4" x14ac:dyDescent="0.35">
      <c r="A5107" t="s">
        <v>3634</v>
      </c>
      <c r="B5107" s="8" t="s">
        <v>3635</v>
      </c>
      <c r="C5107" t="s">
        <v>6174</v>
      </c>
      <c r="D5107" s="8" t="s">
        <v>6175</v>
      </c>
    </row>
    <row r="5108" spans="1:4" ht="29" x14ac:dyDescent="0.35">
      <c r="A5108" t="s">
        <v>3634</v>
      </c>
      <c r="B5108" s="8" t="s">
        <v>3635</v>
      </c>
      <c r="C5108" t="s">
        <v>7741</v>
      </c>
      <c r="D5108" s="8" t="s">
        <v>7742</v>
      </c>
    </row>
    <row r="5109" spans="1:4" x14ac:dyDescent="0.35">
      <c r="A5109" t="s">
        <v>3634</v>
      </c>
      <c r="B5109" s="8" t="s">
        <v>3635</v>
      </c>
      <c r="C5109" t="s">
        <v>7743</v>
      </c>
      <c r="D5109" s="8" t="s">
        <v>7744</v>
      </c>
    </row>
    <row r="5110" spans="1:4" x14ac:dyDescent="0.35">
      <c r="A5110" t="s">
        <v>3634</v>
      </c>
      <c r="B5110" s="8" t="s">
        <v>3635</v>
      </c>
      <c r="C5110" t="s">
        <v>7745</v>
      </c>
      <c r="D5110" s="8" t="s">
        <v>7746</v>
      </c>
    </row>
    <row r="5111" spans="1:4" x14ac:dyDescent="0.35">
      <c r="A5111" t="s">
        <v>3636</v>
      </c>
      <c r="B5111" s="8" t="s">
        <v>3637</v>
      </c>
      <c r="C5111" t="s">
        <v>6174</v>
      </c>
      <c r="D5111" s="8" t="s">
        <v>6175</v>
      </c>
    </row>
    <row r="5112" spans="1:4" x14ac:dyDescent="0.35">
      <c r="A5112" t="s">
        <v>3636</v>
      </c>
      <c r="B5112" s="8" t="s">
        <v>3637</v>
      </c>
      <c r="C5112" t="s">
        <v>7747</v>
      </c>
      <c r="D5112" s="8" t="s">
        <v>7748</v>
      </c>
    </row>
    <row r="5113" spans="1:4" x14ac:dyDescent="0.35">
      <c r="A5113" t="s">
        <v>3636</v>
      </c>
      <c r="B5113" s="8" t="s">
        <v>3637</v>
      </c>
      <c r="C5113" t="s">
        <v>7749</v>
      </c>
      <c r="D5113" s="8" t="s">
        <v>7750</v>
      </c>
    </row>
    <row r="5114" spans="1:4" x14ac:dyDescent="0.35">
      <c r="A5114" t="s">
        <v>3636</v>
      </c>
      <c r="B5114" s="8" t="s">
        <v>3637</v>
      </c>
      <c r="C5114" t="s">
        <v>7751</v>
      </c>
      <c r="D5114" s="8" t="s">
        <v>7752</v>
      </c>
    </row>
    <row r="5115" spans="1:4" x14ac:dyDescent="0.35">
      <c r="A5115" t="s">
        <v>3636</v>
      </c>
      <c r="B5115" s="8" t="s">
        <v>3637</v>
      </c>
      <c r="C5115" t="s">
        <v>7753</v>
      </c>
      <c r="D5115" s="8" t="s">
        <v>7754</v>
      </c>
    </row>
    <row r="5116" spans="1:4" ht="29" x14ac:dyDescent="0.35">
      <c r="A5116" t="s">
        <v>3636</v>
      </c>
      <c r="B5116" s="8" t="s">
        <v>3637</v>
      </c>
      <c r="C5116" t="s">
        <v>7741</v>
      </c>
      <c r="D5116" s="8" t="s">
        <v>7742</v>
      </c>
    </row>
    <row r="5117" spans="1:4" x14ac:dyDescent="0.35">
      <c r="A5117" t="s">
        <v>3636</v>
      </c>
      <c r="B5117" s="8" t="s">
        <v>3637</v>
      </c>
      <c r="C5117" t="s">
        <v>7755</v>
      </c>
      <c r="D5117" s="8" t="s">
        <v>7756</v>
      </c>
    </row>
    <row r="5118" spans="1:4" x14ac:dyDescent="0.35">
      <c r="A5118" t="s">
        <v>3636</v>
      </c>
      <c r="B5118" s="8" t="s">
        <v>3637</v>
      </c>
      <c r="C5118" t="s">
        <v>7745</v>
      </c>
      <c r="D5118" s="8" t="s">
        <v>7746</v>
      </c>
    </row>
    <row r="5119" spans="1:4" x14ac:dyDescent="0.35">
      <c r="A5119" t="s">
        <v>3638</v>
      </c>
      <c r="B5119" s="8" t="s">
        <v>3639</v>
      </c>
      <c r="C5119" t="s">
        <v>6485</v>
      </c>
      <c r="D5119" s="8" t="s">
        <v>6486</v>
      </c>
    </row>
    <row r="5120" spans="1:4" x14ac:dyDescent="0.35">
      <c r="A5120" t="s">
        <v>3638</v>
      </c>
      <c r="B5120" s="8" t="s">
        <v>3639</v>
      </c>
      <c r="C5120" t="s">
        <v>7659</v>
      </c>
      <c r="D5120" s="8" t="s">
        <v>7660</v>
      </c>
    </row>
    <row r="5121" spans="1:4" x14ac:dyDescent="0.35">
      <c r="A5121" t="s">
        <v>3638</v>
      </c>
      <c r="B5121" s="8" t="s">
        <v>3639</v>
      </c>
      <c r="C5121" t="s">
        <v>6174</v>
      </c>
      <c r="D5121" s="8" t="s">
        <v>6175</v>
      </c>
    </row>
    <row r="5122" spans="1:4" x14ac:dyDescent="0.35">
      <c r="A5122" t="s">
        <v>3638</v>
      </c>
      <c r="B5122" s="8" t="s">
        <v>3639</v>
      </c>
      <c r="C5122" t="s">
        <v>7747</v>
      </c>
      <c r="D5122" s="8" t="s">
        <v>7748</v>
      </c>
    </row>
    <row r="5123" spans="1:4" ht="29" x14ac:dyDescent="0.35">
      <c r="A5123" t="s">
        <v>3638</v>
      </c>
      <c r="B5123" s="8" t="s">
        <v>3639</v>
      </c>
      <c r="C5123" t="s">
        <v>6129</v>
      </c>
      <c r="D5123" s="8" t="s">
        <v>6130</v>
      </c>
    </row>
    <row r="5124" spans="1:4" x14ac:dyDescent="0.35">
      <c r="A5124" t="s">
        <v>3640</v>
      </c>
      <c r="B5124" s="8" t="s">
        <v>3641</v>
      </c>
      <c r="C5124" t="s">
        <v>7745</v>
      </c>
      <c r="D5124" s="8" t="s">
        <v>7746</v>
      </c>
    </row>
    <row r="5125" spans="1:4" x14ac:dyDescent="0.35">
      <c r="A5125" t="s">
        <v>3642</v>
      </c>
      <c r="B5125" s="8" t="s">
        <v>3643</v>
      </c>
      <c r="C5125" t="s">
        <v>6485</v>
      </c>
      <c r="D5125" s="8" t="s">
        <v>6486</v>
      </c>
    </row>
    <row r="5126" spans="1:4" ht="29" x14ac:dyDescent="0.35">
      <c r="A5126" t="s">
        <v>3642</v>
      </c>
      <c r="B5126" s="8" t="s">
        <v>3643</v>
      </c>
      <c r="C5126" t="s">
        <v>6129</v>
      </c>
      <c r="D5126" s="8" t="s">
        <v>6130</v>
      </c>
    </row>
    <row r="5127" spans="1:4" x14ac:dyDescent="0.35">
      <c r="A5127" t="s">
        <v>3644</v>
      </c>
      <c r="B5127" s="8" t="s">
        <v>3645</v>
      </c>
      <c r="C5127" t="s">
        <v>7757</v>
      </c>
      <c r="D5127" s="8" t="s">
        <v>7758</v>
      </c>
    </row>
    <row r="5128" spans="1:4" x14ac:dyDescent="0.35">
      <c r="A5128" t="s">
        <v>3644</v>
      </c>
      <c r="B5128" s="8" t="s">
        <v>3645</v>
      </c>
      <c r="C5128" t="s">
        <v>7759</v>
      </c>
      <c r="D5128" s="8" t="s">
        <v>7760</v>
      </c>
    </row>
    <row r="5129" spans="1:4" x14ac:dyDescent="0.35">
      <c r="A5129" t="s">
        <v>3646</v>
      </c>
      <c r="B5129" s="8" t="s">
        <v>3647</v>
      </c>
      <c r="C5129" t="s">
        <v>6485</v>
      </c>
      <c r="D5129" s="8" t="s">
        <v>6486</v>
      </c>
    </row>
    <row r="5130" spans="1:4" x14ac:dyDescent="0.35">
      <c r="A5130" t="s">
        <v>3646</v>
      </c>
      <c r="B5130" s="8" t="s">
        <v>3647</v>
      </c>
      <c r="C5130" t="s">
        <v>6764</v>
      </c>
      <c r="D5130" s="8" t="s">
        <v>6765</v>
      </c>
    </row>
    <row r="5131" spans="1:4" ht="29" x14ac:dyDescent="0.35">
      <c r="A5131" t="s">
        <v>3646</v>
      </c>
      <c r="B5131" s="8" t="s">
        <v>3647</v>
      </c>
      <c r="C5131" t="s">
        <v>6129</v>
      </c>
      <c r="D5131" s="8" t="s">
        <v>6130</v>
      </c>
    </row>
    <row r="5132" spans="1:4" x14ac:dyDescent="0.35">
      <c r="A5132" t="s">
        <v>3648</v>
      </c>
      <c r="B5132" s="8" t="s">
        <v>3649</v>
      </c>
      <c r="C5132" t="s">
        <v>6764</v>
      </c>
      <c r="D5132" s="8" t="s">
        <v>6765</v>
      </c>
    </row>
    <row r="5133" spans="1:4" x14ac:dyDescent="0.35">
      <c r="A5133" t="s">
        <v>3648</v>
      </c>
      <c r="B5133" s="8" t="s">
        <v>3649</v>
      </c>
      <c r="C5133" t="s">
        <v>7753</v>
      </c>
      <c r="D5133" s="8" t="s">
        <v>7754</v>
      </c>
    </row>
    <row r="5134" spans="1:4" x14ac:dyDescent="0.35">
      <c r="A5134" t="s">
        <v>3650</v>
      </c>
      <c r="B5134" s="8" t="s">
        <v>3651</v>
      </c>
      <c r="C5134" t="s">
        <v>6764</v>
      </c>
      <c r="D5134" s="8" t="s">
        <v>6765</v>
      </c>
    </row>
    <row r="5135" spans="1:4" x14ac:dyDescent="0.35">
      <c r="A5135" t="s">
        <v>3652</v>
      </c>
      <c r="B5135" s="8" t="s">
        <v>3653</v>
      </c>
      <c r="C5135" t="s">
        <v>6764</v>
      </c>
      <c r="D5135" s="8" t="s">
        <v>6765</v>
      </c>
    </row>
    <row r="5136" spans="1:4" x14ac:dyDescent="0.35">
      <c r="A5136" t="s">
        <v>3652</v>
      </c>
      <c r="B5136" s="8" t="s">
        <v>3653</v>
      </c>
      <c r="C5136" t="s">
        <v>7749</v>
      </c>
      <c r="D5136" s="8" t="s">
        <v>7750</v>
      </c>
    </row>
    <row r="5137" spans="1:4" x14ac:dyDescent="0.35">
      <c r="A5137" t="s">
        <v>3654</v>
      </c>
      <c r="B5137" s="8" t="s">
        <v>3655</v>
      </c>
      <c r="C5137" t="s">
        <v>6764</v>
      </c>
      <c r="D5137" s="8" t="s">
        <v>6765</v>
      </c>
    </row>
    <row r="5138" spans="1:4" x14ac:dyDescent="0.35">
      <c r="A5138" t="s">
        <v>3654</v>
      </c>
      <c r="B5138" s="8" t="s">
        <v>3655</v>
      </c>
      <c r="C5138" t="s">
        <v>7727</v>
      </c>
      <c r="D5138" s="8" t="s">
        <v>7728</v>
      </c>
    </row>
    <row r="5139" spans="1:4" x14ac:dyDescent="0.35">
      <c r="A5139" t="s">
        <v>3656</v>
      </c>
      <c r="B5139" s="8" t="s">
        <v>3657</v>
      </c>
      <c r="C5139" t="s">
        <v>6764</v>
      </c>
      <c r="D5139" s="8" t="s">
        <v>6765</v>
      </c>
    </row>
    <row r="5140" spans="1:4" x14ac:dyDescent="0.35">
      <c r="A5140" t="s">
        <v>3656</v>
      </c>
      <c r="B5140" s="8" t="s">
        <v>3657</v>
      </c>
      <c r="C5140" t="s">
        <v>6174</v>
      </c>
      <c r="D5140" s="8" t="s">
        <v>6175</v>
      </c>
    </row>
    <row r="5141" spans="1:4" x14ac:dyDescent="0.35">
      <c r="A5141" t="s">
        <v>3656</v>
      </c>
      <c r="B5141" s="8" t="s">
        <v>3657</v>
      </c>
      <c r="C5141" t="s">
        <v>7747</v>
      </c>
      <c r="D5141" s="8" t="s">
        <v>7748</v>
      </c>
    </row>
    <row r="5142" spans="1:4" ht="29" x14ac:dyDescent="0.35">
      <c r="A5142" t="s">
        <v>3656</v>
      </c>
      <c r="B5142" s="8" t="s">
        <v>3657</v>
      </c>
      <c r="C5142" t="s">
        <v>6129</v>
      </c>
      <c r="D5142" s="8" t="s">
        <v>6130</v>
      </c>
    </row>
    <row r="5143" spans="1:4" x14ac:dyDescent="0.35">
      <c r="A5143" t="s">
        <v>3656</v>
      </c>
      <c r="B5143" s="8" t="s">
        <v>3657</v>
      </c>
      <c r="C5143" t="s">
        <v>7745</v>
      </c>
      <c r="D5143" s="8" t="s">
        <v>7746</v>
      </c>
    </row>
    <row r="5144" spans="1:4" x14ac:dyDescent="0.35">
      <c r="A5144" t="s">
        <v>3658</v>
      </c>
      <c r="B5144" s="8" t="s">
        <v>3659</v>
      </c>
      <c r="C5144" t="s">
        <v>6760</v>
      </c>
      <c r="D5144" s="8" t="s">
        <v>6761</v>
      </c>
    </row>
    <row r="5145" spans="1:4" x14ac:dyDescent="0.35">
      <c r="A5145" t="s">
        <v>3658</v>
      </c>
      <c r="B5145" s="8" t="s">
        <v>3659</v>
      </c>
      <c r="C5145" t="s">
        <v>6764</v>
      </c>
      <c r="D5145" s="8" t="s">
        <v>6765</v>
      </c>
    </row>
    <row r="5146" spans="1:4" x14ac:dyDescent="0.35">
      <c r="A5146" t="s">
        <v>3660</v>
      </c>
      <c r="B5146" s="8" t="s">
        <v>3661</v>
      </c>
      <c r="C5146" t="s">
        <v>6163</v>
      </c>
      <c r="D5146" s="8" t="s">
        <v>6164</v>
      </c>
    </row>
    <row r="5147" spans="1:4" x14ac:dyDescent="0.35">
      <c r="A5147" t="s">
        <v>3662</v>
      </c>
      <c r="B5147" s="8" t="s">
        <v>3664</v>
      </c>
      <c r="C5147" t="s">
        <v>6731</v>
      </c>
      <c r="D5147" s="8" t="s">
        <v>6732</v>
      </c>
    </row>
    <row r="5148" spans="1:4" x14ac:dyDescent="0.35">
      <c r="A5148" t="s">
        <v>7761</v>
      </c>
      <c r="B5148" s="8" t="s">
        <v>3665</v>
      </c>
      <c r="C5148" t="s">
        <v>6731</v>
      </c>
      <c r="D5148" s="8" t="s">
        <v>6732</v>
      </c>
    </row>
    <row r="5149" spans="1:4" x14ac:dyDescent="0.35">
      <c r="A5149" t="s">
        <v>7761</v>
      </c>
      <c r="B5149" s="8" t="s">
        <v>3665</v>
      </c>
      <c r="C5149" t="s">
        <v>6435</v>
      </c>
      <c r="D5149" s="8" t="s">
        <v>6436</v>
      </c>
    </row>
    <row r="5150" spans="1:4" x14ac:dyDescent="0.35">
      <c r="A5150" t="s">
        <v>7761</v>
      </c>
      <c r="B5150" s="8" t="s">
        <v>3665</v>
      </c>
      <c r="C5150" t="s">
        <v>6572</v>
      </c>
      <c r="D5150" s="8" t="s">
        <v>6573</v>
      </c>
    </row>
    <row r="5151" spans="1:4" x14ac:dyDescent="0.35">
      <c r="A5151" t="s">
        <v>7762</v>
      </c>
      <c r="B5151" s="8" t="s">
        <v>3666</v>
      </c>
      <c r="C5151" t="s">
        <v>6731</v>
      </c>
      <c r="D5151" s="8" t="s">
        <v>6732</v>
      </c>
    </row>
    <row r="5152" spans="1:4" x14ac:dyDescent="0.35">
      <c r="A5152" t="s">
        <v>7762</v>
      </c>
      <c r="B5152" s="8" t="s">
        <v>3666</v>
      </c>
      <c r="C5152" t="s">
        <v>6572</v>
      </c>
      <c r="D5152" s="8" t="s">
        <v>6573</v>
      </c>
    </row>
    <row r="5153" spans="1:4" x14ac:dyDescent="0.35">
      <c r="A5153" t="s">
        <v>3667</v>
      </c>
      <c r="B5153" s="8" t="s">
        <v>3668</v>
      </c>
      <c r="C5153" t="s">
        <v>6394</v>
      </c>
      <c r="D5153" s="8" t="s">
        <v>6395</v>
      </c>
    </row>
    <row r="5154" spans="1:4" x14ac:dyDescent="0.35">
      <c r="A5154" t="s">
        <v>3667</v>
      </c>
      <c r="B5154" s="8" t="s">
        <v>3668</v>
      </c>
      <c r="C5154" t="s">
        <v>6243</v>
      </c>
      <c r="D5154" s="8" t="s">
        <v>6244</v>
      </c>
    </row>
    <row r="5155" spans="1:4" x14ac:dyDescent="0.35">
      <c r="A5155" t="s">
        <v>3667</v>
      </c>
      <c r="B5155" s="8" t="s">
        <v>3668</v>
      </c>
      <c r="C5155" t="s">
        <v>6572</v>
      </c>
      <c r="D5155" s="8" t="s">
        <v>6573</v>
      </c>
    </row>
    <row r="5156" spans="1:4" x14ac:dyDescent="0.35">
      <c r="A5156" t="s">
        <v>3669</v>
      </c>
      <c r="B5156" s="8" t="s">
        <v>3670</v>
      </c>
      <c r="C5156" t="s">
        <v>6163</v>
      </c>
      <c r="D5156" s="8" t="s">
        <v>6164</v>
      </c>
    </row>
    <row r="5157" spans="1:4" x14ac:dyDescent="0.35">
      <c r="A5157" t="s">
        <v>3671</v>
      </c>
      <c r="B5157" s="8" t="s">
        <v>3672</v>
      </c>
      <c r="C5157" t="s">
        <v>6163</v>
      </c>
      <c r="D5157" s="8" t="s">
        <v>6164</v>
      </c>
    </row>
    <row r="5158" spans="1:4" ht="29" x14ac:dyDescent="0.35">
      <c r="A5158" t="s">
        <v>3673</v>
      </c>
      <c r="B5158" s="8" t="s">
        <v>3674</v>
      </c>
      <c r="C5158" t="s">
        <v>6163</v>
      </c>
      <c r="D5158" s="8" t="s">
        <v>6164</v>
      </c>
    </row>
    <row r="5159" spans="1:4" ht="29" x14ac:dyDescent="0.35">
      <c r="A5159" t="s">
        <v>3675</v>
      </c>
      <c r="B5159" s="8" t="s">
        <v>3676</v>
      </c>
      <c r="C5159" t="s">
        <v>6163</v>
      </c>
      <c r="D5159" s="8" t="s">
        <v>6164</v>
      </c>
    </row>
    <row r="5160" spans="1:4" x14ac:dyDescent="0.35">
      <c r="A5160" t="s">
        <v>3677</v>
      </c>
      <c r="B5160" s="8" t="s">
        <v>3678</v>
      </c>
      <c r="C5160" t="s">
        <v>6163</v>
      </c>
      <c r="D5160" s="8" t="s">
        <v>6164</v>
      </c>
    </row>
    <row r="5161" spans="1:4" x14ac:dyDescent="0.35">
      <c r="A5161" t="s">
        <v>3679</v>
      </c>
      <c r="B5161" s="8" t="s">
        <v>3680</v>
      </c>
      <c r="C5161" t="s">
        <v>6163</v>
      </c>
      <c r="D5161" s="8" t="s">
        <v>6164</v>
      </c>
    </row>
    <row r="5162" spans="1:4" x14ac:dyDescent="0.35">
      <c r="A5162" t="s">
        <v>3681</v>
      </c>
      <c r="B5162" s="8" t="s">
        <v>3682</v>
      </c>
      <c r="C5162" t="s">
        <v>6163</v>
      </c>
      <c r="D5162" s="8" t="s">
        <v>6164</v>
      </c>
    </row>
    <row r="5163" spans="1:4" x14ac:dyDescent="0.35">
      <c r="A5163" t="s">
        <v>3683</v>
      </c>
      <c r="B5163" s="8" t="s">
        <v>3684</v>
      </c>
      <c r="C5163" t="s">
        <v>6163</v>
      </c>
      <c r="D5163" s="8" t="s">
        <v>6164</v>
      </c>
    </row>
    <row r="5164" spans="1:4" x14ac:dyDescent="0.35">
      <c r="A5164" t="s">
        <v>3685</v>
      </c>
      <c r="B5164" s="8" t="s">
        <v>3686</v>
      </c>
      <c r="C5164" t="s">
        <v>6163</v>
      </c>
      <c r="D5164" s="8" t="s">
        <v>6164</v>
      </c>
    </row>
    <row r="5165" spans="1:4" x14ac:dyDescent="0.35">
      <c r="A5165" t="s">
        <v>3687</v>
      </c>
      <c r="B5165" s="8" t="s">
        <v>3688</v>
      </c>
      <c r="C5165" t="s">
        <v>6163</v>
      </c>
      <c r="D5165" s="8" t="s">
        <v>6164</v>
      </c>
    </row>
    <row r="5166" spans="1:4" x14ac:dyDescent="0.35">
      <c r="A5166" t="s">
        <v>3689</v>
      </c>
      <c r="B5166" s="8" t="s">
        <v>3690</v>
      </c>
      <c r="C5166" t="s">
        <v>6163</v>
      </c>
      <c r="D5166" s="8" t="s">
        <v>6164</v>
      </c>
    </row>
    <row r="5167" spans="1:4" x14ac:dyDescent="0.35">
      <c r="A5167" t="s">
        <v>3691</v>
      </c>
      <c r="B5167" s="8" t="s">
        <v>3692</v>
      </c>
      <c r="C5167" t="s">
        <v>6243</v>
      </c>
      <c r="D5167" s="8" t="s">
        <v>6244</v>
      </c>
    </row>
    <row r="5168" spans="1:4" x14ac:dyDescent="0.35">
      <c r="A5168" t="s">
        <v>3691</v>
      </c>
      <c r="B5168" s="8" t="s">
        <v>3692</v>
      </c>
      <c r="C5168" t="s">
        <v>6295</v>
      </c>
      <c r="D5168" s="8" t="s">
        <v>6296</v>
      </c>
    </row>
    <row r="5169" spans="1:4" x14ac:dyDescent="0.35">
      <c r="A5169" t="s">
        <v>3691</v>
      </c>
      <c r="B5169" s="8" t="s">
        <v>3692</v>
      </c>
      <c r="C5169" t="s">
        <v>6596</v>
      </c>
      <c r="D5169" s="8" t="s">
        <v>6597</v>
      </c>
    </row>
    <row r="5170" spans="1:4" x14ac:dyDescent="0.35">
      <c r="A5170" t="s">
        <v>3691</v>
      </c>
      <c r="B5170" s="8" t="s">
        <v>3692</v>
      </c>
      <c r="C5170" t="s">
        <v>6514</v>
      </c>
      <c r="D5170" s="8" t="s">
        <v>6515</v>
      </c>
    </row>
    <row r="5171" spans="1:4" x14ac:dyDescent="0.35">
      <c r="A5171" t="s">
        <v>3691</v>
      </c>
      <c r="B5171" s="8" t="s">
        <v>3692</v>
      </c>
      <c r="C5171" t="s">
        <v>7109</v>
      </c>
      <c r="D5171" s="8" t="s">
        <v>7110</v>
      </c>
    </row>
    <row r="5172" spans="1:4" x14ac:dyDescent="0.35">
      <c r="A5172" t="s">
        <v>3693</v>
      </c>
      <c r="B5172" s="8" t="s">
        <v>3694</v>
      </c>
      <c r="C5172" t="s">
        <v>6243</v>
      </c>
      <c r="D5172" s="8" t="s">
        <v>6244</v>
      </c>
    </row>
    <row r="5173" spans="1:4" x14ac:dyDescent="0.35">
      <c r="A5173" t="s">
        <v>3693</v>
      </c>
      <c r="B5173" s="8" t="s">
        <v>3694</v>
      </c>
      <c r="C5173" t="s">
        <v>6295</v>
      </c>
      <c r="D5173" s="8" t="s">
        <v>6296</v>
      </c>
    </row>
    <row r="5174" spans="1:4" x14ac:dyDescent="0.35">
      <c r="A5174" t="s">
        <v>3693</v>
      </c>
      <c r="B5174" s="8" t="s">
        <v>3694</v>
      </c>
      <c r="C5174" t="s">
        <v>6596</v>
      </c>
      <c r="D5174" s="8" t="s">
        <v>6597</v>
      </c>
    </row>
    <row r="5175" spans="1:4" x14ac:dyDescent="0.35">
      <c r="A5175" t="s">
        <v>3693</v>
      </c>
      <c r="B5175" s="8" t="s">
        <v>3694</v>
      </c>
      <c r="C5175" t="s">
        <v>6514</v>
      </c>
      <c r="D5175" s="8" t="s">
        <v>6515</v>
      </c>
    </row>
    <row r="5176" spans="1:4" x14ac:dyDescent="0.35">
      <c r="A5176" t="s">
        <v>3695</v>
      </c>
      <c r="B5176" s="8" t="s">
        <v>3696</v>
      </c>
      <c r="C5176" t="s">
        <v>6243</v>
      </c>
      <c r="D5176" s="8" t="s">
        <v>6244</v>
      </c>
    </row>
    <row r="5177" spans="1:4" x14ac:dyDescent="0.35">
      <c r="A5177" t="s">
        <v>3695</v>
      </c>
      <c r="B5177" s="8" t="s">
        <v>3696</v>
      </c>
      <c r="C5177" t="s">
        <v>6295</v>
      </c>
      <c r="D5177" s="8" t="s">
        <v>6296</v>
      </c>
    </row>
    <row r="5178" spans="1:4" x14ac:dyDescent="0.35">
      <c r="A5178" t="s">
        <v>3695</v>
      </c>
      <c r="B5178" s="8" t="s">
        <v>3696</v>
      </c>
      <c r="C5178" t="s">
        <v>6596</v>
      </c>
      <c r="D5178" s="8" t="s">
        <v>6597</v>
      </c>
    </row>
    <row r="5179" spans="1:4" x14ac:dyDescent="0.35">
      <c r="A5179" t="s">
        <v>3697</v>
      </c>
      <c r="B5179" s="8" t="s">
        <v>3698</v>
      </c>
      <c r="C5179" t="s">
        <v>6644</v>
      </c>
      <c r="D5179" s="8" t="s">
        <v>6645</v>
      </c>
    </row>
    <row r="5180" spans="1:4" x14ac:dyDescent="0.35">
      <c r="A5180" t="s">
        <v>3697</v>
      </c>
      <c r="B5180" s="8" t="s">
        <v>3698</v>
      </c>
      <c r="C5180" t="s">
        <v>6243</v>
      </c>
      <c r="D5180" s="8" t="s">
        <v>6244</v>
      </c>
    </row>
    <row r="5181" spans="1:4" x14ac:dyDescent="0.35">
      <c r="A5181" t="s">
        <v>3697</v>
      </c>
      <c r="B5181" s="8" t="s">
        <v>3698</v>
      </c>
      <c r="C5181" t="s">
        <v>6295</v>
      </c>
      <c r="D5181" s="8" t="s">
        <v>6296</v>
      </c>
    </row>
    <row r="5182" spans="1:4" x14ac:dyDescent="0.35">
      <c r="A5182" t="s">
        <v>3697</v>
      </c>
      <c r="B5182" s="8" t="s">
        <v>3698</v>
      </c>
      <c r="C5182" t="s">
        <v>6596</v>
      </c>
      <c r="D5182" s="8" t="s">
        <v>6597</v>
      </c>
    </row>
    <row r="5183" spans="1:4" x14ac:dyDescent="0.35">
      <c r="A5183" t="s">
        <v>3699</v>
      </c>
      <c r="B5183" s="8" t="s">
        <v>3700</v>
      </c>
      <c r="C5183" t="s">
        <v>6243</v>
      </c>
      <c r="D5183" s="8" t="s">
        <v>6244</v>
      </c>
    </row>
    <row r="5184" spans="1:4" x14ac:dyDescent="0.35">
      <c r="A5184" t="s">
        <v>3699</v>
      </c>
      <c r="B5184" s="8" t="s">
        <v>3700</v>
      </c>
      <c r="C5184" t="s">
        <v>6295</v>
      </c>
      <c r="D5184" s="8" t="s">
        <v>6296</v>
      </c>
    </row>
    <row r="5185" spans="1:4" x14ac:dyDescent="0.35">
      <c r="A5185" t="s">
        <v>3699</v>
      </c>
      <c r="B5185" s="8" t="s">
        <v>3700</v>
      </c>
      <c r="C5185" t="s">
        <v>6596</v>
      </c>
      <c r="D5185" s="8" t="s">
        <v>6597</v>
      </c>
    </row>
    <row r="5186" spans="1:4" x14ac:dyDescent="0.35">
      <c r="A5186" t="s">
        <v>3699</v>
      </c>
      <c r="B5186" s="8" t="s">
        <v>3700</v>
      </c>
      <c r="C5186" t="s">
        <v>6829</v>
      </c>
      <c r="D5186" s="8" t="s">
        <v>6830</v>
      </c>
    </row>
    <row r="5187" spans="1:4" x14ac:dyDescent="0.35">
      <c r="A5187" t="s">
        <v>3699</v>
      </c>
      <c r="B5187" s="8" t="s">
        <v>3700</v>
      </c>
      <c r="C5187" t="s">
        <v>6894</v>
      </c>
      <c r="D5187" s="8" t="s">
        <v>6895</v>
      </c>
    </row>
    <row r="5188" spans="1:4" x14ac:dyDescent="0.35">
      <c r="A5188" t="s">
        <v>3699</v>
      </c>
      <c r="B5188" s="8" t="s">
        <v>3700</v>
      </c>
      <c r="C5188" t="s">
        <v>6896</v>
      </c>
      <c r="D5188" s="8" t="s">
        <v>6897</v>
      </c>
    </row>
    <row r="5189" spans="1:4" x14ac:dyDescent="0.35">
      <c r="A5189" t="s">
        <v>3701</v>
      </c>
      <c r="B5189" s="8" t="s">
        <v>3702</v>
      </c>
      <c r="C5189" t="s">
        <v>6243</v>
      </c>
      <c r="D5189" s="8" t="s">
        <v>6244</v>
      </c>
    </row>
    <row r="5190" spans="1:4" x14ac:dyDescent="0.35">
      <c r="A5190" t="s">
        <v>3701</v>
      </c>
      <c r="B5190" s="8" t="s">
        <v>3702</v>
      </c>
      <c r="C5190" t="s">
        <v>6295</v>
      </c>
      <c r="D5190" s="8" t="s">
        <v>6296</v>
      </c>
    </row>
    <row r="5191" spans="1:4" x14ac:dyDescent="0.35">
      <c r="A5191" t="s">
        <v>3701</v>
      </c>
      <c r="B5191" s="8" t="s">
        <v>3702</v>
      </c>
      <c r="C5191" t="s">
        <v>6596</v>
      </c>
      <c r="D5191" s="8" t="s">
        <v>6597</v>
      </c>
    </row>
    <row r="5192" spans="1:4" x14ac:dyDescent="0.35">
      <c r="A5192" t="s">
        <v>3703</v>
      </c>
      <c r="B5192" s="8" t="s">
        <v>3704</v>
      </c>
      <c r="C5192" t="s">
        <v>6243</v>
      </c>
      <c r="D5192" s="8" t="s">
        <v>6244</v>
      </c>
    </row>
    <row r="5193" spans="1:4" x14ac:dyDescent="0.35">
      <c r="A5193" t="s">
        <v>3703</v>
      </c>
      <c r="B5193" s="8" t="s">
        <v>3704</v>
      </c>
      <c r="C5193" t="s">
        <v>6295</v>
      </c>
      <c r="D5193" s="8" t="s">
        <v>6296</v>
      </c>
    </row>
    <row r="5194" spans="1:4" x14ac:dyDescent="0.35">
      <c r="A5194" t="s">
        <v>3703</v>
      </c>
      <c r="B5194" s="8" t="s">
        <v>3704</v>
      </c>
      <c r="C5194" t="s">
        <v>6596</v>
      </c>
      <c r="D5194" s="8" t="s">
        <v>6597</v>
      </c>
    </row>
    <row r="5195" spans="1:4" x14ac:dyDescent="0.35">
      <c r="A5195" t="s">
        <v>3705</v>
      </c>
      <c r="B5195" s="8" t="s">
        <v>3706</v>
      </c>
      <c r="C5195" t="s">
        <v>6243</v>
      </c>
      <c r="D5195" s="8" t="s">
        <v>6244</v>
      </c>
    </row>
    <row r="5196" spans="1:4" x14ac:dyDescent="0.35">
      <c r="A5196" t="s">
        <v>3705</v>
      </c>
      <c r="B5196" s="8" t="s">
        <v>3706</v>
      </c>
      <c r="C5196" t="s">
        <v>6295</v>
      </c>
      <c r="D5196" s="8" t="s">
        <v>6296</v>
      </c>
    </row>
    <row r="5197" spans="1:4" x14ac:dyDescent="0.35">
      <c r="A5197" t="s">
        <v>3705</v>
      </c>
      <c r="B5197" s="8" t="s">
        <v>3706</v>
      </c>
      <c r="C5197" t="s">
        <v>6596</v>
      </c>
      <c r="D5197" s="8" t="s">
        <v>6597</v>
      </c>
    </row>
    <row r="5198" spans="1:4" x14ac:dyDescent="0.35">
      <c r="A5198" t="s">
        <v>3707</v>
      </c>
      <c r="B5198" s="8" t="s">
        <v>3708</v>
      </c>
      <c r="C5198" t="s">
        <v>6243</v>
      </c>
      <c r="D5198" s="8" t="s">
        <v>6244</v>
      </c>
    </row>
    <row r="5199" spans="1:4" x14ac:dyDescent="0.35">
      <c r="A5199" t="s">
        <v>3707</v>
      </c>
      <c r="B5199" s="8" t="s">
        <v>3708</v>
      </c>
      <c r="C5199" t="s">
        <v>6295</v>
      </c>
      <c r="D5199" s="8" t="s">
        <v>6296</v>
      </c>
    </row>
    <row r="5200" spans="1:4" x14ac:dyDescent="0.35">
      <c r="A5200" t="s">
        <v>3707</v>
      </c>
      <c r="B5200" s="8" t="s">
        <v>3708</v>
      </c>
      <c r="C5200" t="s">
        <v>6596</v>
      </c>
      <c r="D5200" s="8" t="s">
        <v>6597</v>
      </c>
    </row>
    <row r="5201" spans="1:4" x14ac:dyDescent="0.35">
      <c r="A5201" t="s">
        <v>3709</v>
      </c>
      <c r="B5201" s="8" t="s">
        <v>3710</v>
      </c>
      <c r="C5201" t="s">
        <v>7446</v>
      </c>
      <c r="D5201" s="8" t="s">
        <v>7447</v>
      </c>
    </row>
    <row r="5202" spans="1:4" x14ac:dyDescent="0.35">
      <c r="A5202" t="s">
        <v>3711</v>
      </c>
      <c r="B5202" s="8" t="s">
        <v>3712</v>
      </c>
      <c r="C5202" t="s">
        <v>7442</v>
      </c>
      <c r="D5202" s="8" t="s">
        <v>7443</v>
      </c>
    </row>
    <row r="5203" spans="1:4" x14ac:dyDescent="0.35">
      <c r="A5203" t="s">
        <v>3711</v>
      </c>
      <c r="B5203" s="8" t="s">
        <v>3712</v>
      </c>
      <c r="C5203" t="s">
        <v>7444</v>
      </c>
      <c r="D5203" s="8" t="s">
        <v>7445</v>
      </c>
    </row>
    <row r="5204" spans="1:4" x14ac:dyDescent="0.35">
      <c r="A5204" t="s">
        <v>3713</v>
      </c>
      <c r="B5204" s="8" t="s">
        <v>3714</v>
      </c>
      <c r="C5204" t="s">
        <v>7444</v>
      </c>
      <c r="D5204" s="8" t="s">
        <v>7445</v>
      </c>
    </row>
    <row r="5205" spans="1:4" x14ac:dyDescent="0.35">
      <c r="A5205" t="s">
        <v>3715</v>
      </c>
      <c r="B5205" s="8" t="s">
        <v>3716</v>
      </c>
      <c r="C5205" t="s">
        <v>7444</v>
      </c>
      <c r="D5205" s="8" t="s">
        <v>7445</v>
      </c>
    </row>
    <row r="5206" spans="1:4" x14ac:dyDescent="0.35">
      <c r="A5206" t="s">
        <v>3717</v>
      </c>
      <c r="B5206" s="8" t="s">
        <v>3718</v>
      </c>
      <c r="C5206" t="s">
        <v>7448</v>
      </c>
      <c r="D5206" s="8" t="s">
        <v>7449</v>
      </c>
    </row>
    <row r="5207" spans="1:4" x14ac:dyDescent="0.35">
      <c r="A5207" t="s">
        <v>3719</v>
      </c>
      <c r="B5207" s="8" t="s">
        <v>3720</v>
      </c>
      <c r="C5207" t="s">
        <v>7442</v>
      </c>
      <c r="D5207" s="8" t="s">
        <v>7443</v>
      </c>
    </row>
    <row r="5208" spans="1:4" x14ac:dyDescent="0.35">
      <c r="A5208" t="s">
        <v>3719</v>
      </c>
      <c r="B5208" s="8" t="s">
        <v>3720</v>
      </c>
      <c r="C5208" t="s">
        <v>7444</v>
      </c>
      <c r="D5208" s="8" t="s">
        <v>7445</v>
      </c>
    </row>
    <row r="5209" spans="1:4" x14ac:dyDescent="0.35">
      <c r="A5209" t="s">
        <v>3721</v>
      </c>
      <c r="B5209" s="8" t="s">
        <v>3722</v>
      </c>
      <c r="C5209" t="s">
        <v>7444</v>
      </c>
      <c r="D5209" s="8" t="s">
        <v>7445</v>
      </c>
    </row>
    <row r="5210" spans="1:4" x14ac:dyDescent="0.35">
      <c r="A5210" t="s">
        <v>3723</v>
      </c>
      <c r="B5210" s="8" t="s">
        <v>3724</v>
      </c>
      <c r="C5210" t="s">
        <v>7450</v>
      </c>
      <c r="D5210" s="8" t="s">
        <v>7451</v>
      </c>
    </row>
    <row r="5211" spans="1:4" x14ac:dyDescent="0.35">
      <c r="A5211" t="s">
        <v>3725</v>
      </c>
      <c r="B5211" s="8" t="s">
        <v>3726</v>
      </c>
      <c r="C5211" t="s">
        <v>7444</v>
      </c>
      <c r="D5211" s="8" t="s">
        <v>7445</v>
      </c>
    </row>
    <row r="5212" spans="1:4" x14ac:dyDescent="0.35">
      <c r="A5212" t="s">
        <v>7763</v>
      </c>
      <c r="B5212" s="8" t="s">
        <v>3727</v>
      </c>
      <c r="C5212" t="s">
        <v>7450</v>
      </c>
      <c r="D5212" s="8" t="s">
        <v>7451</v>
      </c>
    </row>
    <row r="5213" spans="1:4" x14ac:dyDescent="0.35">
      <c r="A5213" t="s">
        <v>3728</v>
      </c>
      <c r="B5213" s="8" t="s">
        <v>3730</v>
      </c>
      <c r="C5213" t="s">
        <v>7444</v>
      </c>
      <c r="D5213" s="8" t="s">
        <v>7445</v>
      </c>
    </row>
    <row r="5214" spans="1:4" x14ac:dyDescent="0.35">
      <c r="A5214" t="s">
        <v>3731</v>
      </c>
      <c r="B5214" s="8" t="s">
        <v>3732</v>
      </c>
      <c r="C5214" t="s">
        <v>6196</v>
      </c>
      <c r="D5214" s="8" t="s">
        <v>6197</v>
      </c>
    </row>
    <row r="5215" spans="1:4" x14ac:dyDescent="0.35">
      <c r="A5215" t="s">
        <v>3733</v>
      </c>
      <c r="B5215" s="8" t="s">
        <v>3734</v>
      </c>
      <c r="C5215" t="s">
        <v>6196</v>
      </c>
      <c r="D5215" s="8" t="s">
        <v>6197</v>
      </c>
    </row>
    <row r="5216" spans="1:4" x14ac:dyDescent="0.35">
      <c r="A5216" t="s">
        <v>3735</v>
      </c>
      <c r="B5216" s="8" t="s">
        <v>3736</v>
      </c>
      <c r="C5216" t="s">
        <v>6196</v>
      </c>
      <c r="D5216" s="8" t="s">
        <v>6197</v>
      </c>
    </row>
    <row r="5217" spans="1:4" x14ac:dyDescent="0.35">
      <c r="A5217" t="s">
        <v>3737</v>
      </c>
      <c r="B5217" s="8" t="s">
        <v>3738</v>
      </c>
      <c r="C5217" t="s">
        <v>6196</v>
      </c>
      <c r="D5217" s="8" t="s">
        <v>6197</v>
      </c>
    </row>
    <row r="5218" spans="1:4" x14ac:dyDescent="0.35">
      <c r="A5218" t="s">
        <v>3739</v>
      </c>
      <c r="B5218" s="8" t="s">
        <v>3740</v>
      </c>
      <c r="C5218" t="s">
        <v>6196</v>
      </c>
      <c r="D5218" s="8" t="s">
        <v>6197</v>
      </c>
    </row>
    <row r="5219" spans="1:4" x14ac:dyDescent="0.35">
      <c r="A5219" t="s">
        <v>3741</v>
      </c>
      <c r="B5219" s="8" t="s">
        <v>3742</v>
      </c>
      <c r="C5219" t="s">
        <v>6196</v>
      </c>
      <c r="D5219" s="8" t="s">
        <v>6197</v>
      </c>
    </row>
    <row r="5220" spans="1:4" x14ac:dyDescent="0.35">
      <c r="A5220" t="s">
        <v>3743</v>
      </c>
      <c r="B5220" s="8" t="s">
        <v>3744</v>
      </c>
      <c r="C5220" t="s">
        <v>6196</v>
      </c>
      <c r="D5220" s="8" t="s">
        <v>6197</v>
      </c>
    </row>
    <row r="5221" spans="1:4" x14ac:dyDescent="0.35">
      <c r="A5221" t="s">
        <v>3745</v>
      </c>
      <c r="B5221" s="8" t="s">
        <v>3746</v>
      </c>
      <c r="C5221" t="s">
        <v>6196</v>
      </c>
      <c r="D5221" s="8" t="s">
        <v>6197</v>
      </c>
    </row>
    <row r="5222" spans="1:4" x14ac:dyDescent="0.35">
      <c r="A5222" t="s">
        <v>3747</v>
      </c>
      <c r="B5222" s="8" t="s">
        <v>3748</v>
      </c>
      <c r="C5222" t="s">
        <v>6196</v>
      </c>
      <c r="D5222" s="8" t="s">
        <v>6197</v>
      </c>
    </row>
    <row r="5223" spans="1:4" x14ac:dyDescent="0.35">
      <c r="A5223" t="s">
        <v>3749</v>
      </c>
      <c r="B5223" s="8" t="s">
        <v>3750</v>
      </c>
      <c r="C5223" t="s">
        <v>6196</v>
      </c>
      <c r="D5223" s="8" t="s">
        <v>6197</v>
      </c>
    </row>
    <row r="5224" spans="1:4" x14ac:dyDescent="0.35">
      <c r="A5224" t="s">
        <v>3751</v>
      </c>
      <c r="B5224" s="8" t="s">
        <v>3752</v>
      </c>
      <c r="C5224" t="s">
        <v>6196</v>
      </c>
      <c r="D5224" s="8" t="s">
        <v>6197</v>
      </c>
    </row>
    <row r="5225" spans="1:4" x14ac:dyDescent="0.35">
      <c r="A5225" t="s">
        <v>3753</v>
      </c>
      <c r="B5225" s="8" t="s">
        <v>3754</v>
      </c>
      <c r="C5225" t="s">
        <v>6196</v>
      </c>
      <c r="D5225" s="8" t="s">
        <v>6197</v>
      </c>
    </row>
    <row r="5226" spans="1:4" x14ac:dyDescent="0.35">
      <c r="A5226" t="s">
        <v>3755</v>
      </c>
      <c r="B5226" s="8" t="s">
        <v>3756</v>
      </c>
      <c r="C5226" t="s">
        <v>6196</v>
      </c>
      <c r="D5226" s="8" t="s">
        <v>6197</v>
      </c>
    </row>
    <row r="5227" spans="1:4" x14ac:dyDescent="0.35">
      <c r="A5227" t="s">
        <v>3757</v>
      </c>
      <c r="B5227" s="8" t="s">
        <v>3758</v>
      </c>
      <c r="C5227" t="s">
        <v>6196</v>
      </c>
      <c r="D5227" s="8" t="s">
        <v>6197</v>
      </c>
    </row>
    <row r="5228" spans="1:4" x14ac:dyDescent="0.35">
      <c r="A5228" t="s">
        <v>3759</v>
      </c>
      <c r="B5228" s="8" t="s">
        <v>3760</v>
      </c>
      <c r="C5228" t="s">
        <v>6196</v>
      </c>
      <c r="D5228" s="8" t="s">
        <v>6197</v>
      </c>
    </row>
    <row r="5229" spans="1:4" x14ac:dyDescent="0.35">
      <c r="A5229" t="s">
        <v>3761</v>
      </c>
      <c r="B5229" s="8" t="s">
        <v>3762</v>
      </c>
      <c r="C5229" t="s">
        <v>6196</v>
      </c>
      <c r="D5229" s="8" t="s">
        <v>6197</v>
      </c>
    </row>
    <row r="5230" spans="1:4" x14ac:dyDescent="0.35">
      <c r="A5230" t="s">
        <v>3763</v>
      </c>
      <c r="B5230" s="8" t="s">
        <v>3764</v>
      </c>
      <c r="C5230" t="s">
        <v>6196</v>
      </c>
      <c r="D5230" s="8" t="s">
        <v>6197</v>
      </c>
    </row>
    <row r="5231" spans="1:4" x14ac:dyDescent="0.35">
      <c r="A5231" t="s">
        <v>3765</v>
      </c>
      <c r="B5231" s="8" t="s">
        <v>3766</v>
      </c>
      <c r="C5231" t="s">
        <v>6196</v>
      </c>
      <c r="D5231" s="8" t="s">
        <v>6197</v>
      </c>
    </row>
    <row r="5232" spans="1:4" x14ac:dyDescent="0.35">
      <c r="A5232" t="s">
        <v>3767</v>
      </c>
      <c r="B5232" s="8" t="s">
        <v>3768</v>
      </c>
      <c r="C5232" t="s">
        <v>6196</v>
      </c>
      <c r="D5232" s="8" t="s">
        <v>6197</v>
      </c>
    </row>
    <row r="5233" spans="1:4" x14ac:dyDescent="0.35">
      <c r="A5233" t="s">
        <v>3769</v>
      </c>
      <c r="B5233" s="8" t="s">
        <v>3770</v>
      </c>
      <c r="C5233" t="s">
        <v>6196</v>
      </c>
      <c r="D5233" s="8" t="s">
        <v>6197</v>
      </c>
    </row>
    <row r="5234" spans="1:4" x14ac:dyDescent="0.35">
      <c r="A5234" t="s">
        <v>3771</v>
      </c>
      <c r="B5234" s="8" t="s">
        <v>3773</v>
      </c>
      <c r="C5234" t="s">
        <v>6196</v>
      </c>
      <c r="D5234" s="8" t="s">
        <v>6197</v>
      </c>
    </row>
    <row r="5235" spans="1:4" x14ac:dyDescent="0.35">
      <c r="A5235" t="s">
        <v>7764</v>
      </c>
      <c r="B5235" s="8" t="s">
        <v>7765</v>
      </c>
      <c r="C5235" t="s">
        <v>7639</v>
      </c>
      <c r="D5235" s="8" t="s">
        <v>7640</v>
      </c>
    </row>
    <row r="5236" spans="1:4" x14ac:dyDescent="0.35">
      <c r="A5236" t="s">
        <v>7766</v>
      </c>
      <c r="B5236" s="8" t="s">
        <v>7767</v>
      </c>
      <c r="C5236" t="s">
        <v>7639</v>
      </c>
      <c r="D5236" s="8" t="s">
        <v>7640</v>
      </c>
    </row>
    <row r="5237" spans="1:4" x14ac:dyDescent="0.35">
      <c r="A5237" t="s">
        <v>7768</v>
      </c>
      <c r="B5237" s="8" t="s">
        <v>7769</v>
      </c>
      <c r="C5237" t="s">
        <v>7639</v>
      </c>
      <c r="D5237" s="8" t="s">
        <v>7640</v>
      </c>
    </row>
    <row r="5238" spans="1:4" ht="29" x14ac:dyDescent="0.35">
      <c r="A5238" t="s">
        <v>7770</v>
      </c>
      <c r="B5238" s="8" t="s">
        <v>7771</v>
      </c>
      <c r="C5238" t="s">
        <v>7639</v>
      </c>
      <c r="D5238" s="8" t="s">
        <v>7640</v>
      </c>
    </row>
    <row r="5239" spans="1:4" ht="29" x14ac:dyDescent="0.35">
      <c r="A5239" t="s">
        <v>7772</v>
      </c>
      <c r="B5239" s="8" t="s">
        <v>7773</v>
      </c>
      <c r="C5239" t="s">
        <v>7639</v>
      </c>
      <c r="D5239" s="8" t="s">
        <v>7640</v>
      </c>
    </row>
    <row r="5240" spans="1:4" x14ac:dyDescent="0.35">
      <c r="A5240" t="s">
        <v>7774</v>
      </c>
      <c r="B5240" s="8" t="s">
        <v>7775</v>
      </c>
      <c r="C5240" t="s">
        <v>7639</v>
      </c>
      <c r="D5240" s="8" t="s">
        <v>7640</v>
      </c>
    </row>
    <row r="5241" spans="1:4" x14ac:dyDescent="0.35">
      <c r="A5241" t="s">
        <v>7776</v>
      </c>
      <c r="B5241" s="8" t="s">
        <v>7777</v>
      </c>
      <c r="C5241" t="s">
        <v>7639</v>
      </c>
      <c r="D5241" s="8" t="s">
        <v>7640</v>
      </c>
    </row>
    <row r="5242" spans="1:4" x14ac:dyDescent="0.35">
      <c r="A5242" t="s">
        <v>7778</v>
      </c>
      <c r="B5242" s="8" t="s">
        <v>7779</v>
      </c>
      <c r="C5242" t="s">
        <v>7639</v>
      </c>
      <c r="D5242" s="8" t="s">
        <v>7640</v>
      </c>
    </row>
    <row r="5243" spans="1:4" ht="29" x14ac:dyDescent="0.35">
      <c r="A5243" t="s">
        <v>7780</v>
      </c>
      <c r="B5243" s="8" t="s">
        <v>7781</v>
      </c>
      <c r="C5243" t="s">
        <v>7639</v>
      </c>
      <c r="D5243" s="8" t="s">
        <v>7640</v>
      </c>
    </row>
    <row r="5244" spans="1:4" x14ac:dyDescent="0.35">
      <c r="A5244" t="s">
        <v>7782</v>
      </c>
      <c r="B5244" s="8" t="s">
        <v>7783</v>
      </c>
      <c r="C5244" t="s">
        <v>7639</v>
      </c>
      <c r="D5244" s="8" t="s">
        <v>7640</v>
      </c>
    </row>
    <row r="5245" spans="1:4" x14ac:dyDescent="0.35">
      <c r="A5245" t="s">
        <v>7784</v>
      </c>
      <c r="B5245" s="8" t="s">
        <v>7785</v>
      </c>
      <c r="C5245" t="s">
        <v>7639</v>
      </c>
      <c r="D5245" s="8" t="s">
        <v>7640</v>
      </c>
    </row>
    <row r="5246" spans="1:4" x14ac:dyDescent="0.35">
      <c r="A5246" t="s">
        <v>7786</v>
      </c>
      <c r="B5246" s="8" t="s">
        <v>7787</v>
      </c>
      <c r="C5246" t="s">
        <v>7639</v>
      </c>
      <c r="D5246" s="8" t="s">
        <v>7640</v>
      </c>
    </row>
    <row r="5247" spans="1:4" x14ac:dyDescent="0.35">
      <c r="A5247" t="s">
        <v>7788</v>
      </c>
      <c r="B5247" s="8" t="s">
        <v>7789</v>
      </c>
      <c r="C5247" t="s">
        <v>7639</v>
      </c>
      <c r="D5247" s="8" t="s">
        <v>7640</v>
      </c>
    </row>
    <row r="5248" spans="1:4" ht="29" x14ac:dyDescent="0.35">
      <c r="A5248" t="s">
        <v>7790</v>
      </c>
      <c r="B5248" s="8" t="s">
        <v>7791</v>
      </c>
      <c r="C5248" t="s">
        <v>7639</v>
      </c>
      <c r="D5248" s="8" t="s">
        <v>7640</v>
      </c>
    </row>
    <row r="5249" spans="1:4" x14ac:dyDescent="0.35">
      <c r="A5249" t="s">
        <v>7792</v>
      </c>
      <c r="B5249" s="8" t="s">
        <v>7793</v>
      </c>
      <c r="C5249" t="s">
        <v>7639</v>
      </c>
      <c r="D5249" s="8" t="s">
        <v>7640</v>
      </c>
    </row>
    <row r="5250" spans="1:4" x14ac:dyDescent="0.35">
      <c r="A5250" t="s">
        <v>7794</v>
      </c>
      <c r="B5250" s="8" t="s">
        <v>7795</v>
      </c>
      <c r="C5250" t="s">
        <v>7639</v>
      </c>
      <c r="D5250" s="8" t="s">
        <v>7640</v>
      </c>
    </row>
    <row r="5251" spans="1:4" x14ac:dyDescent="0.35">
      <c r="A5251" t="s">
        <v>7796</v>
      </c>
      <c r="B5251" s="8" t="s">
        <v>7797</v>
      </c>
      <c r="C5251" t="s">
        <v>7639</v>
      </c>
      <c r="D5251" s="8" t="s">
        <v>7640</v>
      </c>
    </row>
    <row r="5252" spans="1:4" x14ac:dyDescent="0.35">
      <c r="A5252" t="s">
        <v>7798</v>
      </c>
      <c r="B5252" s="8" t="s">
        <v>7799</v>
      </c>
      <c r="C5252" t="s">
        <v>7639</v>
      </c>
      <c r="D5252" s="8" t="s">
        <v>7640</v>
      </c>
    </row>
    <row r="5253" spans="1:4" x14ac:dyDescent="0.35">
      <c r="A5253" t="s">
        <v>7800</v>
      </c>
      <c r="B5253" s="8" t="s">
        <v>7801</v>
      </c>
      <c r="C5253" t="s">
        <v>7639</v>
      </c>
      <c r="D5253" s="8" t="s">
        <v>7640</v>
      </c>
    </row>
    <row r="5254" spans="1:4" x14ac:dyDescent="0.35">
      <c r="A5254" t="s">
        <v>7802</v>
      </c>
      <c r="B5254" s="8" t="s">
        <v>7803</v>
      </c>
      <c r="C5254" t="s">
        <v>7639</v>
      </c>
      <c r="D5254" s="8" t="s">
        <v>7640</v>
      </c>
    </row>
    <row r="5255" spans="1:4" x14ac:dyDescent="0.35">
      <c r="A5255" t="s">
        <v>7804</v>
      </c>
      <c r="B5255" s="8" t="s">
        <v>7805</v>
      </c>
      <c r="C5255" t="s">
        <v>7639</v>
      </c>
      <c r="D5255" s="8" t="s">
        <v>7640</v>
      </c>
    </row>
    <row r="5256" spans="1:4" ht="29" x14ac:dyDescent="0.35">
      <c r="A5256" t="s">
        <v>7806</v>
      </c>
      <c r="B5256" s="8" t="s">
        <v>7807</v>
      </c>
      <c r="C5256" t="s">
        <v>7639</v>
      </c>
      <c r="D5256" s="8" t="s">
        <v>7640</v>
      </c>
    </row>
    <row r="5257" spans="1:4" x14ac:dyDescent="0.35">
      <c r="A5257" t="s">
        <v>7808</v>
      </c>
      <c r="B5257" s="8" t="s">
        <v>7809</v>
      </c>
      <c r="C5257" t="s">
        <v>7639</v>
      </c>
      <c r="D5257" s="8" t="s">
        <v>7640</v>
      </c>
    </row>
    <row r="5258" spans="1:4" x14ac:dyDescent="0.35">
      <c r="A5258" t="s">
        <v>7810</v>
      </c>
      <c r="B5258" s="8" t="s">
        <v>7811</v>
      </c>
      <c r="C5258" t="s">
        <v>7639</v>
      </c>
      <c r="D5258" s="8" t="s">
        <v>7640</v>
      </c>
    </row>
    <row r="5259" spans="1:4" x14ac:dyDescent="0.35">
      <c r="A5259" t="s">
        <v>7812</v>
      </c>
      <c r="B5259" s="8" t="s">
        <v>7813</v>
      </c>
      <c r="C5259" t="s">
        <v>7639</v>
      </c>
      <c r="D5259" s="8" t="s">
        <v>7640</v>
      </c>
    </row>
    <row r="5260" spans="1:4" x14ac:dyDescent="0.35">
      <c r="A5260" t="s">
        <v>7814</v>
      </c>
      <c r="B5260" s="8" t="s">
        <v>7815</v>
      </c>
      <c r="C5260" t="s">
        <v>7639</v>
      </c>
      <c r="D5260" s="8" t="s">
        <v>7640</v>
      </c>
    </row>
    <row r="5261" spans="1:4" x14ac:dyDescent="0.35">
      <c r="A5261" t="s">
        <v>7816</v>
      </c>
      <c r="B5261" s="8" t="s">
        <v>7817</v>
      </c>
      <c r="C5261" t="s">
        <v>7639</v>
      </c>
      <c r="D5261" s="8" t="s">
        <v>7640</v>
      </c>
    </row>
    <row r="5262" spans="1:4" x14ac:dyDescent="0.35">
      <c r="A5262" t="s">
        <v>7818</v>
      </c>
      <c r="B5262" s="8" t="s">
        <v>7819</v>
      </c>
      <c r="C5262" t="s">
        <v>7639</v>
      </c>
      <c r="D5262" s="8" t="s">
        <v>7640</v>
      </c>
    </row>
    <row r="5263" spans="1:4" x14ac:dyDescent="0.35">
      <c r="A5263" t="s">
        <v>7820</v>
      </c>
      <c r="B5263" s="8" t="s">
        <v>7821</v>
      </c>
      <c r="C5263" t="s">
        <v>7639</v>
      </c>
      <c r="D5263" s="8" t="s">
        <v>7640</v>
      </c>
    </row>
    <row r="5264" spans="1:4" x14ac:dyDescent="0.35">
      <c r="A5264" t="s">
        <v>7822</v>
      </c>
      <c r="B5264" s="8" t="s">
        <v>7823</v>
      </c>
      <c r="C5264" t="s">
        <v>7639</v>
      </c>
      <c r="D5264" s="8" t="s">
        <v>7640</v>
      </c>
    </row>
    <row r="5265" spans="1:4" x14ac:dyDescent="0.35">
      <c r="A5265" t="s">
        <v>7824</v>
      </c>
      <c r="B5265" s="8" t="s">
        <v>7825</v>
      </c>
      <c r="C5265" t="s">
        <v>7639</v>
      </c>
      <c r="D5265" s="8" t="s">
        <v>7640</v>
      </c>
    </row>
    <row r="5266" spans="1:4" x14ac:dyDescent="0.35">
      <c r="A5266" t="s">
        <v>7826</v>
      </c>
      <c r="B5266" s="8" t="s">
        <v>7827</v>
      </c>
      <c r="C5266" t="s">
        <v>7639</v>
      </c>
      <c r="D5266" s="8" t="s">
        <v>7640</v>
      </c>
    </row>
    <row r="5267" spans="1:4" x14ac:dyDescent="0.35">
      <c r="A5267" t="s">
        <v>7828</v>
      </c>
      <c r="B5267" s="8" t="s">
        <v>7829</v>
      </c>
      <c r="C5267" t="s">
        <v>7639</v>
      </c>
      <c r="D5267" s="8" t="s">
        <v>7640</v>
      </c>
    </row>
    <row r="5268" spans="1:4" x14ac:dyDescent="0.35">
      <c r="A5268" t="s">
        <v>7830</v>
      </c>
      <c r="B5268" s="8" t="s">
        <v>7831</v>
      </c>
      <c r="C5268" t="s">
        <v>7639</v>
      </c>
      <c r="D5268" s="8" t="s">
        <v>7640</v>
      </c>
    </row>
    <row r="5269" spans="1:4" ht="29" x14ac:dyDescent="0.35">
      <c r="A5269" t="s">
        <v>7832</v>
      </c>
      <c r="B5269" s="8" t="s">
        <v>7833</v>
      </c>
      <c r="C5269" t="s">
        <v>7639</v>
      </c>
      <c r="D5269" s="8" t="s">
        <v>7640</v>
      </c>
    </row>
    <row r="5270" spans="1:4" x14ac:dyDescent="0.35">
      <c r="A5270" t="s">
        <v>7834</v>
      </c>
      <c r="B5270" s="8" t="s">
        <v>7835</v>
      </c>
      <c r="C5270" t="s">
        <v>7639</v>
      </c>
      <c r="D5270" s="8" t="s">
        <v>7640</v>
      </c>
    </row>
    <row r="5271" spans="1:4" x14ac:dyDescent="0.35">
      <c r="A5271" t="s">
        <v>7836</v>
      </c>
      <c r="B5271" s="8" t="s">
        <v>7837</v>
      </c>
      <c r="C5271" t="s">
        <v>7639</v>
      </c>
      <c r="D5271" s="8" t="s">
        <v>7640</v>
      </c>
    </row>
    <row r="5272" spans="1:4" x14ac:dyDescent="0.35">
      <c r="A5272" t="s">
        <v>7838</v>
      </c>
      <c r="B5272" s="8" t="s">
        <v>7839</v>
      </c>
      <c r="C5272" t="s">
        <v>7639</v>
      </c>
      <c r="D5272" s="8" t="s">
        <v>7640</v>
      </c>
    </row>
    <row r="5273" spans="1:4" x14ac:dyDescent="0.35">
      <c r="A5273" t="s">
        <v>7840</v>
      </c>
      <c r="B5273" s="8" t="s">
        <v>7841</v>
      </c>
      <c r="C5273" t="s">
        <v>7639</v>
      </c>
      <c r="D5273" s="8" t="s">
        <v>7640</v>
      </c>
    </row>
    <row r="5274" spans="1:4" x14ac:dyDescent="0.35">
      <c r="A5274" t="s">
        <v>7842</v>
      </c>
      <c r="B5274" s="8" t="s">
        <v>7843</v>
      </c>
      <c r="C5274" t="s">
        <v>7639</v>
      </c>
      <c r="D5274" s="8" t="s">
        <v>7640</v>
      </c>
    </row>
    <row r="5275" spans="1:4" x14ac:dyDescent="0.35">
      <c r="A5275" t="s">
        <v>7844</v>
      </c>
      <c r="B5275" s="8" t="s">
        <v>7845</v>
      </c>
      <c r="C5275" t="s">
        <v>7639</v>
      </c>
      <c r="D5275" s="8" t="s">
        <v>7640</v>
      </c>
    </row>
    <row r="5276" spans="1:4" x14ac:dyDescent="0.35">
      <c r="A5276" t="s">
        <v>7846</v>
      </c>
      <c r="B5276" s="8" t="s">
        <v>7847</v>
      </c>
      <c r="C5276" t="s">
        <v>7639</v>
      </c>
      <c r="D5276" s="8" t="s">
        <v>7640</v>
      </c>
    </row>
    <row r="5277" spans="1:4" x14ac:dyDescent="0.35">
      <c r="A5277" t="s">
        <v>7848</v>
      </c>
      <c r="B5277" s="8" t="s">
        <v>7849</v>
      </c>
      <c r="C5277" t="s">
        <v>7639</v>
      </c>
      <c r="D5277" s="8" t="s">
        <v>7640</v>
      </c>
    </row>
    <row r="5278" spans="1:4" x14ac:dyDescent="0.35">
      <c r="A5278" t="s">
        <v>7850</v>
      </c>
      <c r="B5278" s="8" t="s">
        <v>7851</v>
      </c>
      <c r="C5278" t="s">
        <v>7639</v>
      </c>
      <c r="D5278" s="8" t="s">
        <v>7640</v>
      </c>
    </row>
    <row r="5279" spans="1:4" ht="29" x14ac:dyDescent="0.35">
      <c r="A5279" t="s">
        <v>7852</v>
      </c>
      <c r="B5279" s="8" t="s">
        <v>7853</v>
      </c>
      <c r="C5279" t="s">
        <v>7639</v>
      </c>
      <c r="D5279" s="8" t="s">
        <v>7640</v>
      </c>
    </row>
    <row r="5280" spans="1:4" x14ac:dyDescent="0.35">
      <c r="A5280" t="s">
        <v>7854</v>
      </c>
      <c r="B5280" s="8" t="s">
        <v>7855</v>
      </c>
      <c r="C5280" t="s">
        <v>7639</v>
      </c>
      <c r="D5280" s="8" t="s">
        <v>7640</v>
      </c>
    </row>
    <row r="5281" spans="1:4" x14ac:dyDescent="0.35">
      <c r="A5281" t="s">
        <v>7856</v>
      </c>
      <c r="B5281" s="8" t="s">
        <v>7857</v>
      </c>
      <c r="C5281" t="s">
        <v>7639</v>
      </c>
      <c r="D5281" s="8" t="s">
        <v>7640</v>
      </c>
    </row>
    <row r="5282" spans="1:4" x14ac:dyDescent="0.35">
      <c r="A5282" t="s">
        <v>7858</v>
      </c>
      <c r="B5282" s="8" t="s">
        <v>7859</v>
      </c>
      <c r="C5282" t="s">
        <v>7639</v>
      </c>
      <c r="D5282" s="8" t="s">
        <v>7640</v>
      </c>
    </row>
    <row r="5283" spans="1:4" x14ac:dyDescent="0.35">
      <c r="A5283" t="s">
        <v>7860</v>
      </c>
      <c r="B5283" s="8" t="s">
        <v>7861</v>
      </c>
      <c r="C5283" t="s">
        <v>7639</v>
      </c>
      <c r="D5283" s="8" t="s">
        <v>7640</v>
      </c>
    </row>
    <row r="5284" spans="1:4" x14ac:dyDescent="0.35">
      <c r="A5284" t="s">
        <v>7862</v>
      </c>
      <c r="B5284" s="8" t="s">
        <v>7863</v>
      </c>
      <c r="C5284" t="s">
        <v>7639</v>
      </c>
      <c r="D5284" s="8" t="s">
        <v>7640</v>
      </c>
    </row>
    <row r="5285" spans="1:4" x14ac:dyDescent="0.35">
      <c r="A5285" t="s">
        <v>7864</v>
      </c>
      <c r="B5285" s="8" t="s">
        <v>7865</v>
      </c>
      <c r="C5285" t="s">
        <v>7639</v>
      </c>
      <c r="D5285" s="8" t="s">
        <v>7640</v>
      </c>
    </row>
    <row r="5286" spans="1:4" x14ac:dyDescent="0.35">
      <c r="A5286" t="s">
        <v>7866</v>
      </c>
      <c r="B5286" s="8" t="s">
        <v>7867</v>
      </c>
      <c r="C5286" t="s">
        <v>7639</v>
      </c>
      <c r="D5286" s="8" t="s">
        <v>7640</v>
      </c>
    </row>
    <row r="5287" spans="1:4" x14ac:dyDescent="0.35">
      <c r="A5287" t="s">
        <v>7868</v>
      </c>
      <c r="B5287" s="8" t="s">
        <v>7869</v>
      </c>
      <c r="C5287" t="s">
        <v>7590</v>
      </c>
      <c r="D5287" s="8" t="s">
        <v>7591</v>
      </c>
    </row>
    <row r="5288" spans="1:4" x14ac:dyDescent="0.35">
      <c r="A5288" t="s">
        <v>7870</v>
      </c>
      <c r="B5288" s="8" t="s">
        <v>7871</v>
      </c>
      <c r="C5288" t="s">
        <v>7590</v>
      </c>
      <c r="D5288" s="8" t="s">
        <v>7591</v>
      </c>
    </row>
    <row r="5289" spans="1:4" x14ac:dyDescent="0.35">
      <c r="A5289" t="s">
        <v>7872</v>
      </c>
      <c r="B5289" s="8" t="s">
        <v>7873</v>
      </c>
      <c r="C5289" t="s">
        <v>7590</v>
      </c>
      <c r="D5289" s="8" t="s">
        <v>7591</v>
      </c>
    </row>
    <row r="5290" spans="1:4" x14ac:dyDescent="0.35">
      <c r="A5290" t="s">
        <v>7874</v>
      </c>
      <c r="B5290" s="8" t="s">
        <v>7875</v>
      </c>
      <c r="C5290" t="s">
        <v>7590</v>
      </c>
      <c r="D5290" s="8" t="s">
        <v>7591</v>
      </c>
    </row>
    <row r="5291" spans="1:4" x14ac:dyDescent="0.35">
      <c r="A5291" t="s">
        <v>7876</v>
      </c>
      <c r="B5291" s="8" t="s">
        <v>7877</v>
      </c>
      <c r="C5291" t="s">
        <v>7590</v>
      </c>
      <c r="D5291" s="8" t="s">
        <v>7591</v>
      </c>
    </row>
    <row r="5292" spans="1:4" x14ac:dyDescent="0.35">
      <c r="A5292" t="s">
        <v>7878</v>
      </c>
      <c r="B5292" s="8" t="s">
        <v>7879</v>
      </c>
      <c r="C5292" t="s">
        <v>7590</v>
      </c>
      <c r="D5292" s="8" t="s">
        <v>7591</v>
      </c>
    </row>
    <row r="5293" spans="1:4" x14ac:dyDescent="0.35">
      <c r="A5293" t="s">
        <v>7880</v>
      </c>
      <c r="B5293" s="8" t="s">
        <v>7881</v>
      </c>
      <c r="C5293" t="s">
        <v>7590</v>
      </c>
      <c r="D5293" s="8" t="s">
        <v>7591</v>
      </c>
    </row>
    <row r="5294" spans="1:4" x14ac:dyDescent="0.35">
      <c r="A5294" t="s">
        <v>7882</v>
      </c>
      <c r="B5294" s="8" t="s">
        <v>7883</v>
      </c>
      <c r="C5294" t="s">
        <v>7590</v>
      </c>
      <c r="D5294" s="8" t="s">
        <v>7591</v>
      </c>
    </row>
    <row r="5295" spans="1:4" x14ac:dyDescent="0.35">
      <c r="A5295" t="s">
        <v>7884</v>
      </c>
      <c r="B5295" s="8" t="s">
        <v>7885</v>
      </c>
      <c r="C5295" t="s">
        <v>7590</v>
      </c>
      <c r="D5295" s="8" t="s">
        <v>7591</v>
      </c>
    </row>
    <row r="5296" spans="1:4" x14ac:dyDescent="0.35">
      <c r="A5296" t="s">
        <v>7886</v>
      </c>
      <c r="B5296" s="8" t="s">
        <v>7887</v>
      </c>
      <c r="C5296" t="s">
        <v>7590</v>
      </c>
      <c r="D5296" s="8" t="s">
        <v>7591</v>
      </c>
    </row>
    <row r="5297" spans="1:4" x14ac:dyDescent="0.35">
      <c r="A5297" t="s">
        <v>7888</v>
      </c>
      <c r="B5297" s="8" t="s">
        <v>7889</v>
      </c>
      <c r="C5297" t="s">
        <v>7590</v>
      </c>
      <c r="D5297" s="8" t="s">
        <v>7591</v>
      </c>
    </row>
    <row r="5298" spans="1:4" x14ac:dyDescent="0.35">
      <c r="A5298" t="s">
        <v>7890</v>
      </c>
      <c r="B5298" s="8" t="s">
        <v>7891</v>
      </c>
      <c r="C5298" t="s">
        <v>7590</v>
      </c>
      <c r="D5298" s="8" t="s">
        <v>7591</v>
      </c>
    </row>
    <row r="5299" spans="1:4" ht="29" x14ac:dyDescent="0.35">
      <c r="A5299" t="s">
        <v>7892</v>
      </c>
      <c r="B5299" s="8" t="s">
        <v>7893</v>
      </c>
      <c r="C5299" t="s">
        <v>7590</v>
      </c>
      <c r="D5299" s="8" t="s">
        <v>7591</v>
      </c>
    </row>
    <row r="5300" spans="1:4" ht="29" x14ac:dyDescent="0.35">
      <c r="A5300" t="s">
        <v>7894</v>
      </c>
      <c r="B5300" s="8" t="s">
        <v>7895</v>
      </c>
      <c r="C5300" t="s">
        <v>7590</v>
      </c>
      <c r="D5300" s="8" t="s">
        <v>7591</v>
      </c>
    </row>
    <row r="5301" spans="1:4" x14ac:dyDescent="0.35">
      <c r="A5301" t="s">
        <v>7896</v>
      </c>
      <c r="B5301" s="8" t="s">
        <v>7897</v>
      </c>
      <c r="C5301" t="s">
        <v>7590</v>
      </c>
      <c r="D5301" s="8" t="s">
        <v>7591</v>
      </c>
    </row>
    <row r="5302" spans="1:4" x14ac:dyDescent="0.35">
      <c r="A5302" t="s">
        <v>7898</v>
      </c>
      <c r="B5302" s="8" t="s">
        <v>7899</v>
      </c>
      <c r="C5302" t="s">
        <v>7590</v>
      </c>
      <c r="D5302" s="8" t="s">
        <v>7591</v>
      </c>
    </row>
    <row r="5303" spans="1:4" x14ac:dyDescent="0.35">
      <c r="A5303" t="s">
        <v>7900</v>
      </c>
      <c r="B5303" s="8" t="s">
        <v>7901</v>
      </c>
      <c r="C5303" t="s">
        <v>7590</v>
      </c>
      <c r="D5303" s="8" t="s">
        <v>7591</v>
      </c>
    </row>
    <row r="5304" spans="1:4" x14ac:dyDescent="0.35">
      <c r="A5304" t="s">
        <v>7902</v>
      </c>
      <c r="B5304" s="8" t="s">
        <v>7903</v>
      </c>
      <c r="C5304" t="s">
        <v>7590</v>
      </c>
      <c r="D5304" s="8" t="s">
        <v>7591</v>
      </c>
    </row>
    <row r="5305" spans="1:4" x14ac:dyDescent="0.35">
      <c r="A5305" t="s">
        <v>7904</v>
      </c>
      <c r="B5305" s="8" t="s">
        <v>7905</v>
      </c>
      <c r="C5305" t="s">
        <v>7590</v>
      </c>
      <c r="D5305" s="8" t="s">
        <v>7591</v>
      </c>
    </row>
    <row r="5306" spans="1:4" x14ac:dyDescent="0.35">
      <c r="A5306" t="s">
        <v>7906</v>
      </c>
      <c r="B5306" s="8" t="s">
        <v>7907</v>
      </c>
      <c r="C5306" t="s">
        <v>7590</v>
      </c>
      <c r="D5306" s="8" t="s">
        <v>7591</v>
      </c>
    </row>
    <row r="5307" spans="1:4" x14ac:dyDescent="0.35">
      <c r="A5307" t="s">
        <v>7908</v>
      </c>
      <c r="B5307" s="8" t="s">
        <v>7909</v>
      </c>
      <c r="C5307" t="s">
        <v>7590</v>
      </c>
      <c r="D5307" s="8" t="s">
        <v>7591</v>
      </c>
    </row>
    <row r="5308" spans="1:4" x14ac:dyDescent="0.35">
      <c r="A5308" t="s">
        <v>7910</v>
      </c>
      <c r="B5308" s="8" t="s">
        <v>7911</v>
      </c>
      <c r="C5308" t="s">
        <v>7590</v>
      </c>
      <c r="D5308" s="8" t="s">
        <v>7591</v>
      </c>
    </row>
    <row r="5309" spans="1:4" x14ac:dyDescent="0.35">
      <c r="A5309" t="s">
        <v>7912</v>
      </c>
      <c r="B5309" s="8" t="s">
        <v>7913</v>
      </c>
      <c r="C5309" t="s">
        <v>7590</v>
      </c>
      <c r="D5309" s="8" t="s">
        <v>7591</v>
      </c>
    </row>
    <row r="5310" spans="1:4" x14ac:dyDescent="0.35">
      <c r="A5310" t="s">
        <v>7914</v>
      </c>
      <c r="B5310" s="8" t="s">
        <v>7915</v>
      </c>
      <c r="C5310" t="s">
        <v>7590</v>
      </c>
      <c r="D5310" s="8" t="s">
        <v>7591</v>
      </c>
    </row>
    <row r="5311" spans="1:4" x14ac:dyDescent="0.35">
      <c r="A5311" t="s">
        <v>7916</v>
      </c>
      <c r="B5311" s="8" t="s">
        <v>7917</v>
      </c>
      <c r="C5311" t="s">
        <v>7590</v>
      </c>
      <c r="D5311" s="8" t="s">
        <v>7591</v>
      </c>
    </row>
    <row r="5312" spans="1:4" x14ac:dyDescent="0.35">
      <c r="A5312" t="s">
        <v>7918</v>
      </c>
      <c r="B5312" s="8" t="s">
        <v>7919</v>
      </c>
      <c r="C5312" t="s">
        <v>7590</v>
      </c>
      <c r="D5312" s="8" t="s">
        <v>7591</v>
      </c>
    </row>
    <row r="5313" spans="1:4" x14ac:dyDescent="0.35">
      <c r="A5313" t="s">
        <v>7920</v>
      </c>
      <c r="B5313" s="8" t="s">
        <v>7921</v>
      </c>
      <c r="C5313" t="s">
        <v>7590</v>
      </c>
      <c r="D5313" s="8" t="s">
        <v>7591</v>
      </c>
    </row>
    <row r="5314" spans="1:4" x14ac:dyDescent="0.35">
      <c r="A5314" t="s">
        <v>7922</v>
      </c>
      <c r="B5314" s="8" t="s">
        <v>7923</v>
      </c>
      <c r="C5314" t="s">
        <v>7590</v>
      </c>
      <c r="D5314" s="8" t="s">
        <v>7591</v>
      </c>
    </row>
    <row r="5315" spans="1:4" x14ac:dyDescent="0.35">
      <c r="A5315" t="s">
        <v>7924</v>
      </c>
      <c r="B5315" s="8" t="s">
        <v>7925</v>
      </c>
      <c r="C5315" t="s">
        <v>7590</v>
      </c>
      <c r="D5315" s="8" t="s">
        <v>7591</v>
      </c>
    </row>
    <row r="5316" spans="1:4" x14ac:dyDescent="0.35">
      <c r="A5316" t="s">
        <v>7926</v>
      </c>
      <c r="B5316" s="8" t="s">
        <v>7927</v>
      </c>
      <c r="C5316" t="s">
        <v>7590</v>
      </c>
      <c r="D5316" s="8" t="s">
        <v>7591</v>
      </c>
    </row>
    <row r="5317" spans="1:4" x14ac:dyDescent="0.35">
      <c r="A5317" t="s">
        <v>7928</v>
      </c>
      <c r="B5317" s="8" t="s">
        <v>7929</v>
      </c>
      <c r="C5317" t="s">
        <v>7590</v>
      </c>
      <c r="D5317" s="8" t="s">
        <v>7591</v>
      </c>
    </row>
    <row r="5318" spans="1:4" x14ac:dyDescent="0.35">
      <c r="A5318" t="s">
        <v>7930</v>
      </c>
      <c r="B5318" s="8" t="s">
        <v>7931</v>
      </c>
      <c r="C5318" t="s">
        <v>7590</v>
      </c>
      <c r="D5318" s="8" t="s">
        <v>7591</v>
      </c>
    </row>
    <row r="5319" spans="1:4" x14ac:dyDescent="0.35">
      <c r="A5319" t="s">
        <v>7932</v>
      </c>
      <c r="B5319" s="8" t="s">
        <v>7933</v>
      </c>
      <c r="C5319" t="s">
        <v>7590</v>
      </c>
      <c r="D5319" s="8" t="s">
        <v>7591</v>
      </c>
    </row>
    <row r="5320" spans="1:4" x14ac:dyDescent="0.35">
      <c r="A5320" t="s">
        <v>7934</v>
      </c>
      <c r="B5320" s="8" t="s">
        <v>7935</v>
      </c>
      <c r="C5320" t="s">
        <v>7513</v>
      </c>
      <c r="D5320" s="8" t="s">
        <v>7514</v>
      </c>
    </row>
    <row r="5321" spans="1:4" x14ac:dyDescent="0.35">
      <c r="A5321" t="s">
        <v>7936</v>
      </c>
      <c r="B5321" s="8" t="s">
        <v>7937</v>
      </c>
      <c r="C5321" t="s">
        <v>7513</v>
      </c>
      <c r="D5321" s="8" t="s">
        <v>7514</v>
      </c>
    </row>
    <row r="5322" spans="1:4" x14ac:dyDescent="0.35">
      <c r="A5322" t="s">
        <v>7938</v>
      </c>
      <c r="B5322" s="8" t="s">
        <v>7939</v>
      </c>
      <c r="C5322" t="s">
        <v>7513</v>
      </c>
      <c r="D5322" s="8" t="s">
        <v>7514</v>
      </c>
    </row>
    <row r="5323" spans="1:4" x14ac:dyDescent="0.35">
      <c r="A5323" t="s">
        <v>7940</v>
      </c>
      <c r="B5323" s="8" t="s">
        <v>7941</v>
      </c>
      <c r="C5323" t="s">
        <v>7513</v>
      </c>
      <c r="D5323" s="8" t="s">
        <v>7514</v>
      </c>
    </row>
    <row r="5324" spans="1:4" x14ac:dyDescent="0.35">
      <c r="A5324" t="s">
        <v>7942</v>
      </c>
      <c r="B5324" s="8" t="s">
        <v>7943</v>
      </c>
      <c r="C5324" t="s">
        <v>7513</v>
      </c>
      <c r="D5324" s="8" t="s">
        <v>7514</v>
      </c>
    </row>
    <row r="5325" spans="1:4" x14ac:dyDescent="0.35">
      <c r="A5325" t="s">
        <v>7944</v>
      </c>
      <c r="B5325" s="8" t="s">
        <v>7945</v>
      </c>
      <c r="C5325" t="s">
        <v>7513</v>
      </c>
      <c r="D5325" s="8" t="s">
        <v>7514</v>
      </c>
    </row>
    <row r="5326" spans="1:4" x14ac:dyDescent="0.35">
      <c r="A5326" t="s">
        <v>7946</v>
      </c>
      <c r="B5326" s="8" t="s">
        <v>7947</v>
      </c>
      <c r="C5326" t="s">
        <v>7513</v>
      </c>
      <c r="D5326" s="8" t="s">
        <v>7514</v>
      </c>
    </row>
    <row r="5327" spans="1:4" ht="29" x14ac:dyDescent="0.35">
      <c r="A5327" t="s">
        <v>7948</v>
      </c>
      <c r="B5327" s="8" t="s">
        <v>7949</v>
      </c>
      <c r="C5327" t="s">
        <v>7513</v>
      </c>
      <c r="D5327" s="8" t="s">
        <v>7514</v>
      </c>
    </row>
    <row r="5328" spans="1:4" x14ac:dyDescent="0.35">
      <c r="A5328" t="s">
        <v>7950</v>
      </c>
      <c r="B5328" s="8" t="s">
        <v>7951</v>
      </c>
      <c r="C5328" t="s">
        <v>7513</v>
      </c>
      <c r="D5328" s="8" t="s">
        <v>7514</v>
      </c>
    </row>
    <row r="5329" spans="1:4" x14ac:dyDescent="0.35">
      <c r="A5329" t="s">
        <v>7952</v>
      </c>
      <c r="B5329" s="8" t="s">
        <v>7953</v>
      </c>
      <c r="C5329" t="s">
        <v>7513</v>
      </c>
      <c r="D5329" s="8" t="s">
        <v>7514</v>
      </c>
    </row>
    <row r="5330" spans="1:4" x14ac:dyDescent="0.35">
      <c r="A5330" t="s">
        <v>7954</v>
      </c>
      <c r="B5330" s="8" t="s">
        <v>7955</v>
      </c>
      <c r="C5330" t="s">
        <v>7513</v>
      </c>
      <c r="D5330" s="8" t="s">
        <v>7514</v>
      </c>
    </row>
    <row r="5331" spans="1:4" x14ac:dyDescent="0.35">
      <c r="A5331" t="s">
        <v>7956</v>
      </c>
      <c r="B5331" s="8" t="s">
        <v>7957</v>
      </c>
      <c r="C5331" t="s">
        <v>7513</v>
      </c>
      <c r="D5331" s="8" t="s">
        <v>7514</v>
      </c>
    </row>
    <row r="5332" spans="1:4" x14ac:dyDescent="0.35">
      <c r="A5332" t="s">
        <v>7958</v>
      </c>
      <c r="B5332" s="8" t="s">
        <v>7959</v>
      </c>
      <c r="C5332" t="s">
        <v>7513</v>
      </c>
      <c r="D5332" s="8" t="s">
        <v>7514</v>
      </c>
    </row>
    <row r="5333" spans="1:4" x14ac:dyDescent="0.35">
      <c r="A5333" t="s">
        <v>7960</v>
      </c>
      <c r="B5333" s="8" t="s">
        <v>7961</v>
      </c>
      <c r="C5333" t="s">
        <v>7513</v>
      </c>
      <c r="D5333" s="8" t="s">
        <v>7514</v>
      </c>
    </row>
    <row r="5334" spans="1:4" x14ac:dyDescent="0.35">
      <c r="A5334" t="s">
        <v>7962</v>
      </c>
      <c r="B5334" s="8" t="s">
        <v>7963</v>
      </c>
      <c r="C5334" t="s">
        <v>7513</v>
      </c>
      <c r="D5334" s="8" t="s">
        <v>7514</v>
      </c>
    </row>
    <row r="5335" spans="1:4" x14ac:dyDescent="0.35">
      <c r="A5335" t="s">
        <v>7964</v>
      </c>
      <c r="B5335" s="8" t="s">
        <v>7965</v>
      </c>
      <c r="C5335" t="s">
        <v>7513</v>
      </c>
      <c r="D5335" s="8" t="s">
        <v>7514</v>
      </c>
    </row>
    <row r="5336" spans="1:4" x14ac:dyDescent="0.35">
      <c r="A5336" t="s">
        <v>7966</v>
      </c>
      <c r="B5336" s="8" t="s">
        <v>7967</v>
      </c>
      <c r="C5336" t="s">
        <v>7513</v>
      </c>
      <c r="D5336" s="8" t="s">
        <v>7514</v>
      </c>
    </row>
    <row r="5337" spans="1:4" x14ac:dyDescent="0.35">
      <c r="A5337" t="s">
        <v>7968</v>
      </c>
      <c r="B5337" s="8" t="s">
        <v>7969</v>
      </c>
      <c r="C5337" t="s">
        <v>7513</v>
      </c>
      <c r="D5337" s="8" t="s">
        <v>7514</v>
      </c>
    </row>
    <row r="5338" spans="1:4" x14ac:dyDescent="0.35">
      <c r="A5338" t="s">
        <v>7970</v>
      </c>
      <c r="B5338" s="8" t="s">
        <v>7971</v>
      </c>
      <c r="C5338" t="s">
        <v>7513</v>
      </c>
      <c r="D5338" s="8" t="s">
        <v>7514</v>
      </c>
    </row>
    <row r="5339" spans="1:4" x14ac:dyDescent="0.35">
      <c r="A5339" t="s">
        <v>7972</v>
      </c>
      <c r="B5339" s="8" t="s">
        <v>7973</v>
      </c>
      <c r="C5339" t="s">
        <v>7513</v>
      </c>
      <c r="D5339" s="8" t="s">
        <v>7514</v>
      </c>
    </row>
    <row r="5340" spans="1:4" x14ac:dyDescent="0.35">
      <c r="A5340" t="s">
        <v>7974</v>
      </c>
      <c r="B5340" s="8" t="s">
        <v>7975</v>
      </c>
      <c r="C5340" t="s">
        <v>7513</v>
      </c>
      <c r="D5340" s="8" t="s">
        <v>7514</v>
      </c>
    </row>
    <row r="5341" spans="1:4" x14ac:dyDescent="0.35">
      <c r="A5341" t="s">
        <v>7976</v>
      </c>
      <c r="B5341" s="8" t="s">
        <v>7977</v>
      </c>
      <c r="C5341" t="s">
        <v>6163</v>
      </c>
      <c r="D5341" s="8" t="s">
        <v>6164</v>
      </c>
    </row>
    <row r="5342" spans="1:4" x14ac:dyDescent="0.35">
      <c r="A5342" t="s">
        <v>7978</v>
      </c>
      <c r="B5342" s="8" t="s">
        <v>7979</v>
      </c>
      <c r="C5342" t="s">
        <v>6841</v>
      </c>
      <c r="D5342" s="8" t="s">
        <v>6842</v>
      </c>
    </row>
    <row r="5343" spans="1:4" x14ac:dyDescent="0.35">
      <c r="A5343" t="s">
        <v>7978</v>
      </c>
      <c r="B5343" s="8" t="s">
        <v>7979</v>
      </c>
      <c r="C5343" t="s">
        <v>6194</v>
      </c>
      <c r="D5343" s="8" t="s">
        <v>6195</v>
      </c>
    </row>
    <row r="5344" spans="1:4" x14ac:dyDescent="0.35">
      <c r="A5344" t="s">
        <v>7978</v>
      </c>
      <c r="B5344" s="8" t="s">
        <v>7979</v>
      </c>
      <c r="C5344" t="s">
        <v>7554</v>
      </c>
      <c r="D5344" s="8" t="s">
        <v>7555</v>
      </c>
    </row>
    <row r="5345" spans="1:4" x14ac:dyDescent="0.35">
      <c r="A5345" t="s">
        <v>7978</v>
      </c>
      <c r="B5345" s="8" t="s">
        <v>7979</v>
      </c>
      <c r="C5345" t="s">
        <v>7562</v>
      </c>
      <c r="D5345" s="8" t="s">
        <v>7563</v>
      </c>
    </row>
    <row r="5346" spans="1:4" x14ac:dyDescent="0.35">
      <c r="A5346" t="s">
        <v>7980</v>
      </c>
      <c r="B5346" s="8" t="s">
        <v>7981</v>
      </c>
      <c r="C5346" t="s">
        <v>6841</v>
      </c>
      <c r="D5346" s="8" t="s">
        <v>6842</v>
      </c>
    </row>
    <row r="5347" spans="1:4" x14ac:dyDescent="0.35">
      <c r="A5347" t="s">
        <v>7980</v>
      </c>
      <c r="B5347" s="8" t="s">
        <v>7981</v>
      </c>
      <c r="C5347" t="s">
        <v>6194</v>
      </c>
      <c r="D5347" s="8" t="s">
        <v>6195</v>
      </c>
    </row>
    <row r="5348" spans="1:4" x14ac:dyDescent="0.35">
      <c r="A5348" t="s">
        <v>7980</v>
      </c>
      <c r="B5348" s="8" t="s">
        <v>7981</v>
      </c>
      <c r="C5348" t="s">
        <v>7552</v>
      </c>
      <c r="D5348" s="8" t="s">
        <v>7553</v>
      </c>
    </row>
    <row r="5349" spans="1:4" x14ac:dyDescent="0.35">
      <c r="A5349" t="s">
        <v>7982</v>
      </c>
      <c r="B5349" s="8" t="s">
        <v>7983</v>
      </c>
      <c r="C5349" t="s">
        <v>6841</v>
      </c>
      <c r="D5349" s="8" t="s">
        <v>6842</v>
      </c>
    </row>
    <row r="5350" spans="1:4" x14ac:dyDescent="0.35">
      <c r="A5350" t="s">
        <v>7982</v>
      </c>
      <c r="B5350" s="8" t="s">
        <v>7983</v>
      </c>
      <c r="C5350" t="s">
        <v>6194</v>
      </c>
      <c r="D5350" s="8" t="s">
        <v>6195</v>
      </c>
    </row>
    <row r="5351" spans="1:4" x14ac:dyDescent="0.35">
      <c r="A5351" t="s">
        <v>7982</v>
      </c>
      <c r="B5351" s="8" t="s">
        <v>7983</v>
      </c>
      <c r="C5351" t="s">
        <v>7530</v>
      </c>
      <c r="D5351" s="8" t="s">
        <v>7531</v>
      </c>
    </row>
    <row r="5352" spans="1:4" x14ac:dyDescent="0.35">
      <c r="A5352" t="s">
        <v>7982</v>
      </c>
      <c r="B5352" s="8" t="s">
        <v>7983</v>
      </c>
      <c r="C5352" t="s">
        <v>7536</v>
      </c>
      <c r="D5352" s="8" t="s">
        <v>7537</v>
      </c>
    </row>
    <row r="5353" spans="1:4" x14ac:dyDescent="0.35">
      <c r="A5353" t="s">
        <v>7984</v>
      </c>
      <c r="B5353" s="8" t="s">
        <v>7985</v>
      </c>
      <c r="C5353" t="s">
        <v>6841</v>
      </c>
      <c r="D5353" s="8" t="s">
        <v>6842</v>
      </c>
    </row>
    <row r="5354" spans="1:4" x14ac:dyDescent="0.35">
      <c r="A5354" t="s">
        <v>7984</v>
      </c>
      <c r="B5354" s="8" t="s">
        <v>7985</v>
      </c>
      <c r="C5354" t="s">
        <v>6194</v>
      </c>
      <c r="D5354" s="8" t="s">
        <v>6195</v>
      </c>
    </row>
    <row r="5355" spans="1:4" x14ac:dyDescent="0.35">
      <c r="A5355" t="s">
        <v>7984</v>
      </c>
      <c r="B5355" s="8" t="s">
        <v>7985</v>
      </c>
      <c r="C5355" t="s">
        <v>7536</v>
      </c>
      <c r="D5355" s="8" t="s">
        <v>7537</v>
      </c>
    </row>
    <row r="5356" spans="1:4" x14ac:dyDescent="0.35">
      <c r="A5356" t="s">
        <v>7984</v>
      </c>
      <c r="B5356" s="8" t="s">
        <v>7985</v>
      </c>
      <c r="C5356" t="s">
        <v>7538</v>
      </c>
      <c r="D5356" s="8" t="s">
        <v>7539</v>
      </c>
    </row>
    <row r="5357" spans="1:4" ht="29" x14ac:dyDescent="0.35">
      <c r="A5357" t="s">
        <v>7986</v>
      </c>
      <c r="B5357" s="8" t="s">
        <v>7987</v>
      </c>
      <c r="C5357" t="s">
        <v>6841</v>
      </c>
      <c r="D5357" s="8" t="s">
        <v>6842</v>
      </c>
    </row>
    <row r="5358" spans="1:4" ht="29" x14ac:dyDescent="0.35">
      <c r="A5358" t="s">
        <v>7986</v>
      </c>
      <c r="B5358" s="8" t="s">
        <v>7987</v>
      </c>
      <c r="C5358" t="s">
        <v>6194</v>
      </c>
      <c r="D5358" s="8" t="s">
        <v>6195</v>
      </c>
    </row>
    <row r="5359" spans="1:4" ht="29" x14ac:dyDescent="0.35">
      <c r="A5359" t="s">
        <v>7986</v>
      </c>
      <c r="B5359" s="8" t="s">
        <v>7987</v>
      </c>
      <c r="C5359" t="s">
        <v>7538</v>
      </c>
      <c r="D5359" s="8" t="s">
        <v>7539</v>
      </c>
    </row>
    <row r="5360" spans="1:4" ht="29" x14ac:dyDescent="0.35">
      <c r="A5360" t="s">
        <v>7986</v>
      </c>
      <c r="B5360" s="8" t="s">
        <v>7987</v>
      </c>
      <c r="C5360" t="s">
        <v>7554</v>
      </c>
      <c r="D5360" s="8" t="s">
        <v>7555</v>
      </c>
    </row>
    <row r="5361" spans="1:4" x14ac:dyDescent="0.35">
      <c r="A5361" t="s">
        <v>7988</v>
      </c>
      <c r="B5361" s="8" t="s">
        <v>7989</v>
      </c>
      <c r="C5361" t="s">
        <v>6841</v>
      </c>
      <c r="D5361" s="8" t="s">
        <v>6842</v>
      </c>
    </row>
    <row r="5362" spans="1:4" x14ac:dyDescent="0.35">
      <c r="A5362" t="s">
        <v>7988</v>
      </c>
      <c r="B5362" s="8" t="s">
        <v>7989</v>
      </c>
      <c r="C5362" t="s">
        <v>6194</v>
      </c>
      <c r="D5362" s="8" t="s">
        <v>6195</v>
      </c>
    </row>
    <row r="5363" spans="1:4" x14ac:dyDescent="0.35">
      <c r="A5363" t="s">
        <v>7988</v>
      </c>
      <c r="B5363" s="8" t="s">
        <v>7989</v>
      </c>
      <c r="C5363" t="s">
        <v>7538</v>
      </c>
      <c r="D5363" s="8" t="s">
        <v>7539</v>
      </c>
    </row>
    <row r="5364" spans="1:4" x14ac:dyDescent="0.35">
      <c r="A5364" t="s">
        <v>7988</v>
      </c>
      <c r="B5364" s="8" t="s">
        <v>7989</v>
      </c>
      <c r="C5364" t="s">
        <v>7554</v>
      </c>
      <c r="D5364" s="8" t="s">
        <v>7555</v>
      </c>
    </row>
    <row r="5365" spans="1:4" x14ac:dyDescent="0.35">
      <c r="A5365" t="s">
        <v>7990</v>
      </c>
      <c r="B5365" s="8" t="s">
        <v>7991</v>
      </c>
      <c r="C5365" t="s">
        <v>6841</v>
      </c>
      <c r="D5365" s="8" t="s">
        <v>6842</v>
      </c>
    </row>
    <row r="5366" spans="1:4" x14ac:dyDescent="0.35">
      <c r="A5366" t="s">
        <v>7990</v>
      </c>
      <c r="B5366" s="8" t="s">
        <v>7991</v>
      </c>
      <c r="C5366" t="s">
        <v>6194</v>
      </c>
      <c r="D5366" s="8" t="s">
        <v>6195</v>
      </c>
    </row>
    <row r="5367" spans="1:4" x14ac:dyDescent="0.35">
      <c r="A5367" t="s">
        <v>7990</v>
      </c>
      <c r="B5367" s="8" t="s">
        <v>7991</v>
      </c>
      <c r="C5367" t="s">
        <v>7538</v>
      </c>
      <c r="D5367" s="8" t="s">
        <v>7539</v>
      </c>
    </row>
    <row r="5368" spans="1:4" x14ac:dyDescent="0.35">
      <c r="A5368" t="s">
        <v>7990</v>
      </c>
      <c r="B5368" s="8" t="s">
        <v>7991</v>
      </c>
      <c r="C5368" t="s">
        <v>7550</v>
      </c>
      <c r="D5368" s="8" t="s">
        <v>7551</v>
      </c>
    </row>
    <row r="5369" spans="1:4" x14ac:dyDescent="0.35">
      <c r="A5369" t="s">
        <v>7992</v>
      </c>
      <c r="B5369" s="8" t="s">
        <v>7993</v>
      </c>
      <c r="C5369" t="s">
        <v>6841</v>
      </c>
      <c r="D5369" s="8" t="s">
        <v>6842</v>
      </c>
    </row>
    <row r="5370" spans="1:4" x14ac:dyDescent="0.35">
      <c r="A5370" t="s">
        <v>7992</v>
      </c>
      <c r="B5370" s="8" t="s">
        <v>7993</v>
      </c>
      <c r="C5370" t="s">
        <v>6194</v>
      </c>
      <c r="D5370" s="8" t="s">
        <v>6195</v>
      </c>
    </row>
    <row r="5371" spans="1:4" x14ac:dyDescent="0.35">
      <c r="A5371" t="s">
        <v>7992</v>
      </c>
      <c r="B5371" s="8" t="s">
        <v>7993</v>
      </c>
      <c r="C5371" t="s">
        <v>7530</v>
      </c>
      <c r="D5371" s="8" t="s">
        <v>7531</v>
      </c>
    </row>
    <row r="5372" spans="1:4" x14ac:dyDescent="0.35">
      <c r="A5372" t="s">
        <v>7992</v>
      </c>
      <c r="B5372" s="8" t="s">
        <v>7993</v>
      </c>
      <c r="C5372" t="s">
        <v>7540</v>
      </c>
      <c r="D5372" s="8" t="s">
        <v>7541</v>
      </c>
    </row>
    <row r="5373" spans="1:4" x14ac:dyDescent="0.35">
      <c r="A5373" t="s">
        <v>7994</v>
      </c>
      <c r="B5373" s="8" t="s">
        <v>7995</v>
      </c>
      <c r="C5373" t="s">
        <v>6841</v>
      </c>
      <c r="D5373" s="8" t="s">
        <v>6842</v>
      </c>
    </row>
    <row r="5374" spans="1:4" x14ac:dyDescent="0.35">
      <c r="A5374" t="s">
        <v>7994</v>
      </c>
      <c r="B5374" s="8" t="s">
        <v>7995</v>
      </c>
      <c r="C5374" t="s">
        <v>6194</v>
      </c>
      <c r="D5374" s="8" t="s">
        <v>6195</v>
      </c>
    </row>
    <row r="5375" spans="1:4" x14ac:dyDescent="0.35">
      <c r="A5375" t="s">
        <v>7994</v>
      </c>
      <c r="B5375" s="8" t="s">
        <v>7995</v>
      </c>
      <c r="C5375" t="s">
        <v>7534</v>
      </c>
      <c r="D5375" s="8" t="s">
        <v>7535</v>
      </c>
    </row>
    <row r="5376" spans="1:4" x14ac:dyDescent="0.35">
      <c r="A5376" t="s">
        <v>7994</v>
      </c>
      <c r="B5376" s="8" t="s">
        <v>7995</v>
      </c>
      <c r="C5376" t="s">
        <v>7540</v>
      </c>
      <c r="D5376" s="8" t="s">
        <v>7541</v>
      </c>
    </row>
    <row r="5377" spans="1:4" x14ac:dyDescent="0.35">
      <c r="A5377" t="s">
        <v>7996</v>
      </c>
      <c r="B5377" s="8" t="s">
        <v>7997</v>
      </c>
      <c r="C5377" t="s">
        <v>6841</v>
      </c>
      <c r="D5377" s="8" t="s">
        <v>6842</v>
      </c>
    </row>
    <row r="5378" spans="1:4" x14ac:dyDescent="0.35">
      <c r="A5378" t="s">
        <v>7996</v>
      </c>
      <c r="B5378" s="8" t="s">
        <v>7997</v>
      </c>
      <c r="C5378" t="s">
        <v>6194</v>
      </c>
      <c r="D5378" s="8" t="s">
        <v>6195</v>
      </c>
    </row>
    <row r="5379" spans="1:4" x14ac:dyDescent="0.35">
      <c r="A5379" t="s">
        <v>7996</v>
      </c>
      <c r="B5379" s="8" t="s">
        <v>7997</v>
      </c>
      <c r="C5379" t="s">
        <v>7536</v>
      </c>
      <c r="D5379" s="8" t="s">
        <v>7537</v>
      </c>
    </row>
    <row r="5380" spans="1:4" x14ac:dyDescent="0.35">
      <c r="A5380" t="s">
        <v>7996</v>
      </c>
      <c r="B5380" s="8" t="s">
        <v>7997</v>
      </c>
      <c r="C5380" t="s">
        <v>7540</v>
      </c>
      <c r="D5380" s="8" t="s">
        <v>7541</v>
      </c>
    </row>
    <row r="5381" spans="1:4" ht="29" x14ac:dyDescent="0.35">
      <c r="A5381" t="s">
        <v>7998</v>
      </c>
      <c r="B5381" s="8" t="s">
        <v>7999</v>
      </c>
      <c r="C5381" t="s">
        <v>6841</v>
      </c>
      <c r="D5381" s="8" t="s">
        <v>6842</v>
      </c>
    </row>
    <row r="5382" spans="1:4" ht="29" x14ac:dyDescent="0.35">
      <c r="A5382" t="s">
        <v>7998</v>
      </c>
      <c r="B5382" s="8" t="s">
        <v>7999</v>
      </c>
      <c r="C5382" t="s">
        <v>6194</v>
      </c>
      <c r="D5382" s="8" t="s">
        <v>6195</v>
      </c>
    </row>
    <row r="5383" spans="1:4" ht="29" x14ac:dyDescent="0.35">
      <c r="A5383" t="s">
        <v>7998</v>
      </c>
      <c r="B5383" s="8" t="s">
        <v>7999</v>
      </c>
      <c r="C5383" t="s">
        <v>7536</v>
      </c>
      <c r="D5383" s="8" t="s">
        <v>7537</v>
      </c>
    </row>
    <row r="5384" spans="1:4" ht="29" x14ac:dyDescent="0.35">
      <c r="A5384" t="s">
        <v>7998</v>
      </c>
      <c r="B5384" s="8" t="s">
        <v>7999</v>
      </c>
      <c r="C5384" t="s">
        <v>7540</v>
      </c>
      <c r="D5384" s="8" t="s">
        <v>7541</v>
      </c>
    </row>
    <row r="5385" spans="1:4" x14ac:dyDescent="0.35">
      <c r="A5385" t="s">
        <v>8000</v>
      </c>
      <c r="B5385" s="8" t="s">
        <v>8001</v>
      </c>
      <c r="C5385" t="s">
        <v>6841</v>
      </c>
      <c r="D5385" s="8" t="s">
        <v>6842</v>
      </c>
    </row>
    <row r="5386" spans="1:4" x14ac:dyDescent="0.35">
      <c r="A5386" t="s">
        <v>8000</v>
      </c>
      <c r="B5386" s="8" t="s">
        <v>8001</v>
      </c>
      <c r="C5386" t="s">
        <v>6194</v>
      </c>
      <c r="D5386" s="8" t="s">
        <v>6195</v>
      </c>
    </row>
    <row r="5387" spans="1:4" x14ac:dyDescent="0.35">
      <c r="A5387" t="s">
        <v>8000</v>
      </c>
      <c r="B5387" s="8" t="s">
        <v>8001</v>
      </c>
      <c r="C5387" t="s">
        <v>7538</v>
      </c>
      <c r="D5387" s="8" t="s">
        <v>7539</v>
      </c>
    </row>
    <row r="5388" spans="1:4" x14ac:dyDescent="0.35">
      <c r="A5388" t="s">
        <v>8000</v>
      </c>
      <c r="B5388" s="8" t="s">
        <v>8001</v>
      </c>
      <c r="C5388" t="s">
        <v>7540</v>
      </c>
      <c r="D5388" s="8" t="s">
        <v>7541</v>
      </c>
    </row>
    <row r="5389" spans="1:4" ht="29" x14ac:dyDescent="0.35">
      <c r="A5389" t="s">
        <v>8002</v>
      </c>
      <c r="B5389" s="8" t="s">
        <v>8003</v>
      </c>
      <c r="C5389" t="s">
        <v>6841</v>
      </c>
      <c r="D5389" s="8" t="s">
        <v>6842</v>
      </c>
    </row>
    <row r="5390" spans="1:4" ht="29" x14ac:dyDescent="0.35">
      <c r="A5390" t="s">
        <v>8002</v>
      </c>
      <c r="B5390" s="8" t="s">
        <v>8003</v>
      </c>
      <c r="C5390" t="s">
        <v>6194</v>
      </c>
      <c r="D5390" s="8" t="s">
        <v>6195</v>
      </c>
    </row>
    <row r="5391" spans="1:4" ht="29" x14ac:dyDescent="0.35">
      <c r="A5391" t="s">
        <v>8002</v>
      </c>
      <c r="B5391" s="8" t="s">
        <v>8003</v>
      </c>
      <c r="C5391" t="s">
        <v>7554</v>
      </c>
      <c r="D5391" s="8" t="s">
        <v>7555</v>
      </c>
    </row>
    <row r="5392" spans="1:4" x14ac:dyDescent="0.35">
      <c r="A5392" t="s">
        <v>8004</v>
      </c>
      <c r="B5392" s="8" t="s">
        <v>8005</v>
      </c>
      <c r="C5392" t="s">
        <v>6841</v>
      </c>
      <c r="D5392" s="8" t="s">
        <v>6842</v>
      </c>
    </row>
    <row r="5393" spans="1:4" x14ac:dyDescent="0.35">
      <c r="A5393" t="s">
        <v>8004</v>
      </c>
      <c r="B5393" s="8" t="s">
        <v>8005</v>
      </c>
      <c r="C5393" t="s">
        <v>6194</v>
      </c>
      <c r="D5393" s="8" t="s">
        <v>6195</v>
      </c>
    </row>
    <row r="5394" spans="1:4" x14ac:dyDescent="0.35">
      <c r="A5394" t="s">
        <v>8004</v>
      </c>
      <c r="B5394" s="8" t="s">
        <v>8005</v>
      </c>
      <c r="C5394" t="s">
        <v>7540</v>
      </c>
      <c r="D5394" s="8" t="s">
        <v>7541</v>
      </c>
    </row>
    <row r="5395" spans="1:4" x14ac:dyDescent="0.35">
      <c r="A5395" t="s">
        <v>8004</v>
      </c>
      <c r="B5395" s="8" t="s">
        <v>8005</v>
      </c>
      <c r="C5395" t="s">
        <v>7542</v>
      </c>
      <c r="D5395" s="8" t="s">
        <v>7543</v>
      </c>
    </row>
    <row r="5396" spans="1:4" x14ac:dyDescent="0.35">
      <c r="A5396" t="s">
        <v>8006</v>
      </c>
      <c r="B5396" s="8" t="s">
        <v>8007</v>
      </c>
      <c r="C5396" t="s">
        <v>6841</v>
      </c>
      <c r="D5396" s="8" t="s">
        <v>6842</v>
      </c>
    </row>
    <row r="5397" spans="1:4" x14ac:dyDescent="0.35">
      <c r="A5397" t="s">
        <v>8006</v>
      </c>
      <c r="B5397" s="8" t="s">
        <v>8007</v>
      </c>
      <c r="C5397" t="s">
        <v>6194</v>
      </c>
      <c r="D5397" s="8" t="s">
        <v>6195</v>
      </c>
    </row>
    <row r="5398" spans="1:4" x14ac:dyDescent="0.35">
      <c r="A5398" t="s">
        <v>8006</v>
      </c>
      <c r="B5398" s="8" t="s">
        <v>8007</v>
      </c>
      <c r="C5398" t="s">
        <v>7540</v>
      </c>
      <c r="D5398" s="8" t="s">
        <v>7541</v>
      </c>
    </row>
    <row r="5399" spans="1:4" x14ac:dyDescent="0.35">
      <c r="A5399" t="s">
        <v>8006</v>
      </c>
      <c r="B5399" s="8" t="s">
        <v>8007</v>
      </c>
      <c r="C5399" t="s">
        <v>7546</v>
      </c>
      <c r="D5399" s="8" t="s">
        <v>7547</v>
      </c>
    </row>
    <row r="5400" spans="1:4" x14ac:dyDescent="0.35">
      <c r="A5400" t="s">
        <v>8008</v>
      </c>
      <c r="B5400" s="8" t="s">
        <v>8009</v>
      </c>
      <c r="C5400" t="s">
        <v>6841</v>
      </c>
      <c r="D5400" s="8" t="s">
        <v>6842</v>
      </c>
    </row>
    <row r="5401" spans="1:4" x14ac:dyDescent="0.35">
      <c r="A5401" t="s">
        <v>8008</v>
      </c>
      <c r="B5401" s="8" t="s">
        <v>8009</v>
      </c>
      <c r="C5401" t="s">
        <v>6194</v>
      </c>
      <c r="D5401" s="8" t="s">
        <v>6195</v>
      </c>
    </row>
    <row r="5402" spans="1:4" x14ac:dyDescent="0.35">
      <c r="A5402" t="s">
        <v>8008</v>
      </c>
      <c r="B5402" s="8" t="s">
        <v>8009</v>
      </c>
      <c r="C5402" t="s">
        <v>7540</v>
      </c>
      <c r="D5402" s="8" t="s">
        <v>7541</v>
      </c>
    </row>
    <row r="5403" spans="1:4" x14ac:dyDescent="0.35">
      <c r="A5403" t="s">
        <v>8008</v>
      </c>
      <c r="B5403" s="8" t="s">
        <v>8009</v>
      </c>
      <c r="C5403" t="s">
        <v>7554</v>
      </c>
      <c r="D5403" s="8" t="s">
        <v>7555</v>
      </c>
    </row>
    <row r="5404" spans="1:4" x14ac:dyDescent="0.35">
      <c r="A5404" t="s">
        <v>8010</v>
      </c>
      <c r="B5404" s="8" t="s">
        <v>8011</v>
      </c>
      <c r="C5404" t="s">
        <v>6841</v>
      </c>
      <c r="D5404" s="8" t="s">
        <v>6842</v>
      </c>
    </row>
    <row r="5405" spans="1:4" x14ac:dyDescent="0.35">
      <c r="A5405" t="s">
        <v>8010</v>
      </c>
      <c r="B5405" s="8" t="s">
        <v>8011</v>
      </c>
      <c r="C5405" t="s">
        <v>6194</v>
      </c>
      <c r="D5405" s="8" t="s">
        <v>6195</v>
      </c>
    </row>
    <row r="5406" spans="1:4" x14ac:dyDescent="0.35">
      <c r="A5406" t="s">
        <v>8010</v>
      </c>
      <c r="B5406" s="8" t="s">
        <v>8011</v>
      </c>
      <c r="C5406" t="s">
        <v>7540</v>
      </c>
      <c r="D5406" s="8" t="s">
        <v>7541</v>
      </c>
    </row>
    <row r="5407" spans="1:4" x14ac:dyDescent="0.35">
      <c r="A5407" t="s">
        <v>8010</v>
      </c>
      <c r="B5407" s="8" t="s">
        <v>8011</v>
      </c>
      <c r="C5407" t="s">
        <v>7550</v>
      </c>
      <c r="D5407" s="8" t="s">
        <v>7551</v>
      </c>
    </row>
    <row r="5408" spans="1:4" ht="29" x14ac:dyDescent="0.35">
      <c r="A5408" t="s">
        <v>8012</v>
      </c>
      <c r="B5408" s="8" t="s">
        <v>8013</v>
      </c>
      <c r="C5408" t="s">
        <v>6841</v>
      </c>
      <c r="D5408" s="8" t="s">
        <v>6842</v>
      </c>
    </row>
    <row r="5409" spans="1:4" ht="29" x14ac:dyDescent="0.35">
      <c r="A5409" t="s">
        <v>8012</v>
      </c>
      <c r="B5409" s="8" t="s">
        <v>8013</v>
      </c>
      <c r="C5409" t="s">
        <v>6194</v>
      </c>
      <c r="D5409" s="8" t="s">
        <v>6195</v>
      </c>
    </row>
    <row r="5410" spans="1:4" ht="29" x14ac:dyDescent="0.35">
      <c r="A5410" t="s">
        <v>8012</v>
      </c>
      <c r="B5410" s="8" t="s">
        <v>8013</v>
      </c>
      <c r="C5410" t="s">
        <v>7554</v>
      </c>
      <c r="D5410" s="8" t="s">
        <v>7555</v>
      </c>
    </row>
    <row r="5411" spans="1:4" x14ac:dyDescent="0.35">
      <c r="A5411" t="s">
        <v>8014</v>
      </c>
      <c r="B5411" s="8" t="s">
        <v>8015</v>
      </c>
      <c r="C5411" t="s">
        <v>6841</v>
      </c>
      <c r="D5411" s="8" t="s">
        <v>6842</v>
      </c>
    </row>
    <row r="5412" spans="1:4" x14ac:dyDescent="0.35">
      <c r="A5412" t="s">
        <v>8014</v>
      </c>
      <c r="B5412" s="8" t="s">
        <v>8015</v>
      </c>
      <c r="C5412" t="s">
        <v>6194</v>
      </c>
      <c r="D5412" s="8" t="s">
        <v>6195</v>
      </c>
    </row>
    <row r="5413" spans="1:4" x14ac:dyDescent="0.35">
      <c r="A5413" t="s">
        <v>8014</v>
      </c>
      <c r="B5413" s="8" t="s">
        <v>8015</v>
      </c>
      <c r="C5413" t="s">
        <v>7530</v>
      </c>
      <c r="D5413" s="8" t="s">
        <v>7531</v>
      </c>
    </row>
    <row r="5414" spans="1:4" x14ac:dyDescent="0.35">
      <c r="A5414" t="s">
        <v>8014</v>
      </c>
      <c r="B5414" s="8" t="s">
        <v>8015</v>
      </c>
      <c r="C5414" t="s">
        <v>7546</v>
      </c>
      <c r="D5414" s="8" t="s">
        <v>7547</v>
      </c>
    </row>
    <row r="5415" spans="1:4" x14ac:dyDescent="0.35">
      <c r="A5415" t="s">
        <v>8016</v>
      </c>
      <c r="B5415" s="8" t="s">
        <v>8017</v>
      </c>
      <c r="C5415" t="s">
        <v>6841</v>
      </c>
      <c r="D5415" s="8" t="s">
        <v>6842</v>
      </c>
    </row>
    <row r="5416" spans="1:4" x14ac:dyDescent="0.35">
      <c r="A5416" t="s">
        <v>8016</v>
      </c>
      <c r="B5416" s="8" t="s">
        <v>8017</v>
      </c>
      <c r="C5416" t="s">
        <v>6194</v>
      </c>
      <c r="D5416" s="8" t="s">
        <v>6195</v>
      </c>
    </row>
    <row r="5417" spans="1:4" x14ac:dyDescent="0.35">
      <c r="A5417" t="s">
        <v>8016</v>
      </c>
      <c r="B5417" s="8" t="s">
        <v>8017</v>
      </c>
      <c r="C5417" t="s">
        <v>7536</v>
      </c>
      <c r="D5417" s="8" t="s">
        <v>7537</v>
      </c>
    </row>
    <row r="5418" spans="1:4" x14ac:dyDescent="0.35">
      <c r="A5418" t="s">
        <v>8016</v>
      </c>
      <c r="B5418" s="8" t="s">
        <v>8017</v>
      </c>
      <c r="C5418" t="s">
        <v>7546</v>
      </c>
      <c r="D5418" s="8" t="s">
        <v>7547</v>
      </c>
    </row>
    <row r="5419" spans="1:4" x14ac:dyDescent="0.35">
      <c r="A5419" t="s">
        <v>8018</v>
      </c>
      <c r="B5419" s="8" t="s">
        <v>8019</v>
      </c>
      <c r="C5419" t="s">
        <v>6841</v>
      </c>
      <c r="D5419" s="8" t="s">
        <v>6842</v>
      </c>
    </row>
    <row r="5420" spans="1:4" x14ac:dyDescent="0.35">
      <c r="A5420" t="s">
        <v>8018</v>
      </c>
      <c r="B5420" s="8" t="s">
        <v>8019</v>
      </c>
      <c r="C5420" t="s">
        <v>6194</v>
      </c>
      <c r="D5420" s="8" t="s">
        <v>6195</v>
      </c>
    </row>
    <row r="5421" spans="1:4" x14ac:dyDescent="0.35">
      <c r="A5421" t="s">
        <v>8018</v>
      </c>
      <c r="B5421" s="8" t="s">
        <v>8019</v>
      </c>
      <c r="C5421" t="s">
        <v>7546</v>
      </c>
      <c r="D5421" s="8" t="s">
        <v>7547</v>
      </c>
    </row>
    <row r="5422" spans="1:4" x14ac:dyDescent="0.35">
      <c r="A5422" t="s">
        <v>8018</v>
      </c>
      <c r="B5422" s="8" t="s">
        <v>8019</v>
      </c>
      <c r="C5422" t="s">
        <v>7554</v>
      </c>
      <c r="D5422" s="8" t="s">
        <v>7555</v>
      </c>
    </row>
    <row r="5423" spans="1:4" x14ac:dyDescent="0.35">
      <c r="A5423" t="s">
        <v>8020</v>
      </c>
      <c r="B5423" s="8" t="s">
        <v>8021</v>
      </c>
      <c r="C5423" t="s">
        <v>6841</v>
      </c>
      <c r="D5423" s="8" t="s">
        <v>6842</v>
      </c>
    </row>
    <row r="5424" spans="1:4" x14ac:dyDescent="0.35">
      <c r="A5424" t="s">
        <v>8020</v>
      </c>
      <c r="B5424" s="8" t="s">
        <v>8021</v>
      </c>
      <c r="C5424" t="s">
        <v>6194</v>
      </c>
      <c r="D5424" s="8" t="s">
        <v>6195</v>
      </c>
    </row>
    <row r="5425" spans="1:4" x14ac:dyDescent="0.35">
      <c r="A5425" t="s">
        <v>8020</v>
      </c>
      <c r="B5425" s="8" t="s">
        <v>8021</v>
      </c>
      <c r="C5425" t="s">
        <v>7546</v>
      </c>
      <c r="D5425" s="8" t="s">
        <v>7547</v>
      </c>
    </row>
    <row r="5426" spans="1:4" x14ac:dyDescent="0.35">
      <c r="A5426" t="s">
        <v>8020</v>
      </c>
      <c r="B5426" s="8" t="s">
        <v>8021</v>
      </c>
      <c r="C5426" t="s">
        <v>7554</v>
      </c>
      <c r="D5426" s="8" t="s">
        <v>7555</v>
      </c>
    </row>
    <row r="5427" spans="1:4" ht="29" x14ac:dyDescent="0.35">
      <c r="A5427" t="s">
        <v>8022</v>
      </c>
      <c r="B5427" s="8" t="s">
        <v>8023</v>
      </c>
      <c r="C5427" t="s">
        <v>6841</v>
      </c>
      <c r="D5427" s="8" t="s">
        <v>6842</v>
      </c>
    </row>
    <row r="5428" spans="1:4" ht="29" x14ac:dyDescent="0.35">
      <c r="A5428" t="s">
        <v>8022</v>
      </c>
      <c r="B5428" s="8" t="s">
        <v>8023</v>
      </c>
      <c r="C5428" t="s">
        <v>6194</v>
      </c>
      <c r="D5428" s="8" t="s">
        <v>6195</v>
      </c>
    </row>
    <row r="5429" spans="1:4" ht="29" x14ac:dyDescent="0.35">
      <c r="A5429" t="s">
        <v>8022</v>
      </c>
      <c r="B5429" s="8" t="s">
        <v>8023</v>
      </c>
      <c r="C5429" t="s">
        <v>7546</v>
      </c>
      <c r="D5429" s="8" t="s">
        <v>7547</v>
      </c>
    </row>
    <row r="5430" spans="1:4" ht="29" x14ac:dyDescent="0.35">
      <c r="A5430" t="s">
        <v>8022</v>
      </c>
      <c r="B5430" s="8" t="s">
        <v>8023</v>
      </c>
      <c r="C5430" t="s">
        <v>7550</v>
      </c>
      <c r="D5430" s="8" t="s">
        <v>7551</v>
      </c>
    </row>
    <row r="5431" spans="1:4" x14ac:dyDescent="0.35">
      <c r="A5431" t="s">
        <v>8024</v>
      </c>
      <c r="B5431" s="8" t="s">
        <v>8025</v>
      </c>
      <c r="C5431" t="s">
        <v>6841</v>
      </c>
      <c r="D5431" s="8" t="s">
        <v>6842</v>
      </c>
    </row>
    <row r="5432" spans="1:4" x14ac:dyDescent="0.35">
      <c r="A5432" t="s">
        <v>8024</v>
      </c>
      <c r="B5432" s="8" t="s">
        <v>8025</v>
      </c>
      <c r="C5432" t="s">
        <v>6194</v>
      </c>
      <c r="D5432" s="8" t="s">
        <v>6195</v>
      </c>
    </row>
    <row r="5433" spans="1:4" x14ac:dyDescent="0.35">
      <c r="A5433" t="s">
        <v>8024</v>
      </c>
      <c r="B5433" s="8" t="s">
        <v>8025</v>
      </c>
      <c r="C5433" t="s">
        <v>7542</v>
      </c>
      <c r="D5433" s="8" t="s">
        <v>7543</v>
      </c>
    </row>
    <row r="5434" spans="1:4" x14ac:dyDescent="0.35">
      <c r="A5434" t="s">
        <v>8024</v>
      </c>
      <c r="B5434" s="8" t="s">
        <v>8025</v>
      </c>
      <c r="C5434" t="s">
        <v>7550</v>
      </c>
      <c r="D5434" s="8" t="s">
        <v>7551</v>
      </c>
    </row>
    <row r="5435" spans="1:4" ht="29" x14ac:dyDescent="0.35">
      <c r="A5435" t="s">
        <v>8026</v>
      </c>
      <c r="B5435" s="8" t="s">
        <v>8027</v>
      </c>
      <c r="C5435" t="s">
        <v>6841</v>
      </c>
      <c r="D5435" s="8" t="s">
        <v>6842</v>
      </c>
    </row>
    <row r="5436" spans="1:4" ht="29" x14ac:dyDescent="0.35">
      <c r="A5436" t="s">
        <v>8026</v>
      </c>
      <c r="B5436" s="8" t="s">
        <v>8027</v>
      </c>
      <c r="C5436" t="s">
        <v>6194</v>
      </c>
      <c r="D5436" s="8" t="s">
        <v>6195</v>
      </c>
    </row>
    <row r="5437" spans="1:4" ht="29" x14ac:dyDescent="0.35">
      <c r="A5437" t="s">
        <v>8026</v>
      </c>
      <c r="B5437" s="8" t="s">
        <v>8027</v>
      </c>
      <c r="C5437" t="s">
        <v>7554</v>
      </c>
      <c r="D5437" s="8" t="s">
        <v>7555</v>
      </c>
    </row>
    <row r="5438" spans="1:4" x14ac:dyDescent="0.35">
      <c r="A5438" t="s">
        <v>8028</v>
      </c>
      <c r="B5438" s="8" t="s">
        <v>8029</v>
      </c>
      <c r="C5438" t="s">
        <v>6841</v>
      </c>
      <c r="D5438" s="8" t="s">
        <v>6842</v>
      </c>
    </row>
    <row r="5439" spans="1:4" x14ac:dyDescent="0.35">
      <c r="A5439" t="s">
        <v>8028</v>
      </c>
      <c r="B5439" s="8" t="s">
        <v>8029</v>
      </c>
      <c r="C5439" t="s">
        <v>6194</v>
      </c>
      <c r="D5439" s="8" t="s">
        <v>6195</v>
      </c>
    </row>
    <row r="5440" spans="1:4" x14ac:dyDescent="0.35">
      <c r="A5440" t="s">
        <v>8028</v>
      </c>
      <c r="B5440" s="8" t="s">
        <v>8029</v>
      </c>
      <c r="C5440" t="s">
        <v>7554</v>
      </c>
      <c r="D5440" s="8" t="s">
        <v>7555</v>
      </c>
    </row>
    <row r="5441" spans="1:4" x14ac:dyDescent="0.35">
      <c r="A5441" t="s">
        <v>8028</v>
      </c>
      <c r="B5441" s="8" t="s">
        <v>8029</v>
      </c>
      <c r="C5441" t="s">
        <v>7562</v>
      </c>
      <c r="D5441" s="8" t="s">
        <v>7563</v>
      </c>
    </row>
    <row r="5442" spans="1:4" x14ac:dyDescent="0.35">
      <c r="A5442" t="s">
        <v>8030</v>
      </c>
      <c r="B5442" s="8" t="s">
        <v>3884</v>
      </c>
      <c r="C5442" t="s">
        <v>6841</v>
      </c>
      <c r="D5442" s="8" t="s">
        <v>6842</v>
      </c>
    </row>
    <row r="5443" spans="1:4" x14ac:dyDescent="0.35">
      <c r="A5443" t="s">
        <v>8030</v>
      </c>
      <c r="B5443" s="8" t="s">
        <v>3884</v>
      </c>
      <c r="C5443" t="s">
        <v>6194</v>
      </c>
      <c r="D5443" s="8" t="s">
        <v>6195</v>
      </c>
    </row>
    <row r="5444" spans="1:4" x14ac:dyDescent="0.35">
      <c r="A5444" t="s">
        <v>8030</v>
      </c>
      <c r="B5444" s="8" t="s">
        <v>3884</v>
      </c>
      <c r="C5444" t="s">
        <v>7536</v>
      </c>
      <c r="D5444" s="8" t="s">
        <v>7537</v>
      </c>
    </row>
    <row r="5445" spans="1:4" x14ac:dyDescent="0.35">
      <c r="A5445" t="s">
        <v>8031</v>
      </c>
      <c r="B5445" s="8" t="s">
        <v>3910</v>
      </c>
      <c r="C5445" t="s">
        <v>6841</v>
      </c>
      <c r="D5445" s="8" t="s">
        <v>6842</v>
      </c>
    </row>
    <row r="5446" spans="1:4" x14ac:dyDescent="0.35">
      <c r="A5446" t="s">
        <v>8031</v>
      </c>
      <c r="B5446" s="8" t="s">
        <v>3910</v>
      </c>
      <c r="C5446" t="s">
        <v>6194</v>
      </c>
      <c r="D5446" s="8" t="s">
        <v>6195</v>
      </c>
    </row>
    <row r="5447" spans="1:4" x14ac:dyDescent="0.35">
      <c r="A5447" t="s">
        <v>8031</v>
      </c>
      <c r="B5447" s="8" t="s">
        <v>3910</v>
      </c>
      <c r="C5447" t="s">
        <v>7554</v>
      </c>
      <c r="D5447" s="8" t="s">
        <v>7555</v>
      </c>
    </row>
    <row r="5448" spans="1:4" x14ac:dyDescent="0.35">
      <c r="A5448" t="s">
        <v>8032</v>
      </c>
      <c r="B5448" s="8" t="s">
        <v>8033</v>
      </c>
      <c r="C5448" t="s">
        <v>6194</v>
      </c>
      <c r="D5448" s="8" t="s">
        <v>6195</v>
      </c>
    </row>
    <row r="5449" spans="1:4" x14ac:dyDescent="0.35">
      <c r="A5449" t="s">
        <v>8034</v>
      </c>
      <c r="B5449" s="8" t="s">
        <v>3925</v>
      </c>
      <c r="C5449" t="s">
        <v>6841</v>
      </c>
      <c r="D5449" s="8" t="s">
        <v>6842</v>
      </c>
    </row>
    <row r="5450" spans="1:4" x14ac:dyDescent="0.35">
      <c r="A5450" t="s">
        <v>8034</v>
      </c>
      <c r="B5450" s="8" t="s">
        <v>3925</v>
      </c>
      <c r="C5450" t="s">
        <v>6194</v>
      </c>
      <c r="D5450" s="8" t="s">
        <v>6195</v>
      </c>
    </row>
    <row r="5451" spans="1:4" x14ac:dyDescent="0.35">
      <c r="A5451" t="s">
        <v>8034</v>
      </c>
      <c r="B5451" s="8" t="s">
        <v>3925</v>
      </c>
      <c r="C5451" t="s">
        <v>7554</v>
      </c>
      <c r="D5451" s="8" t="s">
        <v>7555</v>
      </c>
    </row>
    <row r="5452" spans="1:4" x14ac:dyDescent="0.35">
      <c r="A5452" t="s">
        <v>8035</v>
      </c>
      <c r="B5452" s="8" t="s">
        <v>8036</v>
      </c>
      <c r="C5452" t="s">
        <v>6841</v>
      </c>
      <c r="D5452" s="8" t="s">
        <v>6842</v>
      </c>
    </row>
    <row r="5453" spans="1:4" x14ac:dyDescent="0.35">
      <c r="A5453" t="s">
        <v>8035</v>
      </c>
      <c r="B5453" s="8" t="s">
        <v>8036</v>
      </c>
      <c r="C5453" t="s">
        <v>6194</v>
      </c>
      <c r="D5453" s="8" t="s">
        <v>6195</v>
      </c>
    </row>
    <row r="5454" spans="1:4" x14ac:dyDescent="0.35">
      <c r="A5454" t="s">
        <v>8035</v>
      </c>
      <c r="B5454" s="8" t="s">
        <v>8036</v>
      </c>
      <c r="C5454" t="s">
        <v>7554</v>
      </c>
      <c r="D5454" s="8" t="s">
        <v>7555</v>
      </c>
    </row>
    <row r="5455" spans="1:4" x14ac:dyDescent="0.35">
      <c r="A5455" t="s">
        <v>8037</v>
      </c>
      <c r="B5455" s="8" t="s">
        <v>8038</v>
      </c>
      <c r="C5455" t="s">
        <v>6526</v>
      </c>
      <c r="D5455" s="8" t="s">
        <v>6527</v>
      </c>
    </row>
    <row r="5456" spans="1:4" x14ac:dyDescent="0.35">
      <c r="A5456" t="s">
        <v>8037</v>
      </c>
      <c r="B5456" s="8" t="s">
        <v>8038</v>
      </c>
      <c r="C5456" t="s">
        <v>6194</v>
      </c>
      <c r="D5456" s="8" t="s">
        <v>6195</v>
      </c>
    </row>
    <row r="5457" spans="1:4" x14ac:dyDescent="0.35">
      <c r="A5457" t="s">
        <v>8039</v>
      </c>
      <c r="B5457" s="8" t="s">
        <v>3953</v>
      </c>
      <c r="C5457" t="s">
        <v>6841</v>
      </c>
      <c r="D5457" s="8" t="s">
        <v>6842</v>
      </c>
    </row>
    <row r="5458" spans="1:4" x14ac:dyDescent="0.35">
      <c r="A5458" t="s">
        <v>8039</v>
      </c>
      <c r="B5458" s="8" t="s">
        <v>3953</v>
      </c>
      <c r="C5458" t="s">
        <v>6194</v>
      </c>
      <c r="D5458" s="8" t="s">
        <v>6195</v>
      </c>
    </row>
    <row r="5459" spans="1:4" x14ac:dyDescent="0.35">
      <c r="A5459" t="s">
        <v>8039</v>
      </c>
      <c r="B5459" s="8" t="s">
        <v>3953</v>
      </c>
      <c r="C5459" t="s">
        <v>7548</v>
      </c>
      <c r="D5459" s="8" t="s">
        <v>7549</v>
      </c>
    </row>
    <row r="5460" spans="1:4" x14ac:dyDescent="0.35">
      <c r="A5460" t="s">
        <v>8039</v>
      </c>
      <c r="B5460" s="8" t="s">
        <v>3953</v>
      </c>
      <c r="C5460" t="s">
        <v>7554</v>
      </c>
      <c r="D5460" s="8" t="s">
        <v>7555</v>
      </c>
    </row>
    <row r="5461" spans="1:4" x14ac:dyDescent="0.35">
      <c r="A5461" t="s">
        <v>8040</v>
      </c>
      <c r="B5461" s="8" t="s">
        <v>3971</v>
      </c>
      <c r="C5461" t="s">
        <v>6841</v>
      </c>
      <c r="D5461" s="8" t="s">
        <v>6842</v>
      </c>
    </row>
    <row r="5462" spans="1:4" x14ac:dyDescent="0.35">
      <c r="A5462" t="s">
        <v>8040</v>
      </c>
      <c r="B5462" s="8" t="s">
        <v>3971</v>
      </c>
      <c r="C5462" t="s">
        <v>6194</v>
      </c>
      <c r="D5462" s="8" t="s">
        <v>6195</v>
      </c>
    </row>
    <row r="5463" spans="1:4" x14ac:dyDescent="0.35">
      <c r="A5463" t="s">
        <v>8040</v>
      </c>
      <c r="B5463" s="8" t="s">
        <v>3971</v>
      </c>
      <c r="C5463" t="s">
        <v>7554</v>
      </c>
      <c r="D5463" s="8" t="s">
        <v>7555</v>
      </c>
    </row>
    <row r="5464" spans="1:4" x14ac:dyDescent="0.35">
      <c r="A5464" t="s">
        <v>8041</v>
      </c>
      <c r="B5464" s="8" t="s">
        <v>3992</v>
      </c>
      <c r="C5464" t="s">
        <v>6841</v>
      </c>
      <c r="D5464" s="8" t="s">
        <v>6842</v>
      </c>
    </row>
    <row r="5465" spans="1:4" x14ac:dyDescent="0.35">
      <c r="A5465" t="s">
        <v>8041</v>
      </c>
      <c r="B5465" s="8" t="s">
        <v>3992</v>
      </c>
      <c r="C5465" t="s">
        <v>6194</v>
      </c>
      <c r="D5465" s="8" t="s">
        <v>6195</v>
      </c>
    </row>
    <row r="5466" spans="1:4" x14ac:dyDescent="0.35">
      <c r="A5466" t="s">
        <v>8041</v>
      </c>
      <c r="B5466" s="8" t="s">
        <v>3992</v>
      </c>
      <c r="C5466" t="s">
        <v>7554</v>
      </c>
      <c r="D5466" s="8" t="s">
        <v>7555</v>
      </c>
    </row>
    <row r="5467" spans="1:4" x14ac:dyDescent="0.35">
      <c r="A5467" t="s">
        <v>8042</v>
      </c>
      <c r="B5467" s="8" t="s">
        <v>8043</v>
      </c>
      <c r="C5467" t="s">
        <v>6526</v>
      </c>
      <c r="D5467" s="8" t="s">
        <v>6527</v>
      </c>
    </row>
    <row r="5468" spans="1:4" x14ac:dyDescent="0.35">
      <c r="A5468" t="s">
        <v>8042</v>
      </c>
      <c r="B5468" s="8" t="s">
        <v>8043</v>
      </c>
      <c r="C5468" t="s">
        <v>6194</v>
      </c>
      <c r="D5468" s="8" t="s">
        <v>6195</v>
      </c>
    </row>
    <row r="5469" spans="1:4" x14ac:dyDescent="0.35">
      <c r="A5469" t="s">
        <v>8044</v>
      </c>
      <c r="B5469" s="8" t="s">
        <v>4073</v>
      </c>
      <c r="C5469" t="s">
        <v>6841</v>
      </c>
      <c r="D5469" s="8" t="s">
        <v>6842</v>
      </c>
    </row>
    <row r="5470" spans="1:4" x14ac:dyDescent="0.35">
      <c r="A5470" t="s">
        <v>8044</v>
      </c>
      <c r="B5470" s="8" t="s">
        <v>4073</v>
      </c>
      <c r="C5470" t="s">
        <v>6194</v>
      </c>
      <c r="D5470" s="8" t="s">
        <v>6195</v>
      </c>
    </row>
    <row r="5471" spans="1:4" x14ac:dyDescent="0.35">
      <c r="A5471" t="s">
        <v>8044</v>
      </c>
      <c r="B5471" s="8" t="s">
        <v>4073</v>
      </c>
      <c r="C5471" t="s">
        <v>7554</v>
      </c>
      <c r="D5471" s="8" t="s">
        <v>7555</v>
      </c>
    </row>
    <row r="5472" spans="1:4" x14ac:dyDescent="0.35">
      <c r="A5472" t="s">
        <v>8045</v>
      </c>
      <c r="B5472" s="8" t="s">
        <v>4079</v>
      </c>
      <c r="C5472" t="s">
        <v>6841</v>
      </c>
      <c r="D5472" s="8" t="s">
        <v>6842</v>
      </c>
    </row>
    <row r="5473" spans="1:4" x14ac:dyDescent="0.35">
      <c r="A5473" t="s">
        <v>8045</v>
      </c>
      <c r="B5473" s="8" t="s">
        <v>4079</v>
      </c>
      <c r="C5473" t="s">
        <v>6194</v>
      </c>
      <c r="D5473" s="8" t="s">
        <v>6195</v>
      </c>
    </row>
    <row r="5474" spans="1:4" x14ac:dyDescent="0.35">
      <c r="A5474" t="s">
        <v>8045</v>
      </c>
      <c r="B5474" s="8" t="s">
        <v>4079</v>
      </c>
      <c r="C5474" t="s">
        <v>7554</v>
      </c>
      <c r="D5474" s="8" t="s">
        <v>7555</v>
      </c>
    </row>
    <row r="5475" spans="1:4" x14ac:dyDescent="0.35">
      <c r="A5475" t="s">
        <v>8046</v>
      </c>
      <c r="B5475" s="8" t="s">
        <v>4082</v>
      </c>
      <c r="C5475" t="s">
        <v>6841</v>
      </c>
      <c r="D5475" s="8" t="s">
        <v>6842</v>
      </c>
    </row>
    <row r="5476" spans="1:4" x14ac:dyDescent="0.35">
      <c r="A5476" t="s">
        <v>8046</v>
      </c>
      <c r="B5476" s="8" t="s">
        <v>4082</v>
      </c>
      <c r="C5476" t="s">
        <v>6194</v>
      </c>
      <c r="D5476" s="8" t="s">
        <v>6195</v>
      </c>
    </row>
    <row r="5477" spans="1:4" x14ac:dyDescent="0.35">
      <c r="A5477" t="s">
        <v>8046</v>
      </c>
      <c r="B5477" s="8" t="s">
        <v>4082</v>
      </c>
      <c r="C5477" t="s">
        <v>7558</v>
      </c>
      <c r="D5477" s="8" t="s">
        <v>7559</v>
      </c>
    </row>
    <row r="5478" spans="1:4" x14ac:dyDescent="0.35">
      <c r="A5478" t="s">
        <v>8047</v>
      </c>
      <c r="B5478" s="8" t="s">
        <v>8048</v>
      </c>
      <c r="C5478" t="s">
        <v>6841</v>
      </c>
      <c r="D5478" s="8" t="s">
        <v>6842</v>
      </c>
    </row>
    <row r="5479" spans="1:4" x14ac:dyDescent="0.35">
      <c r="A5479" t="s">
        <v>8047</v>
      </c>
      <c r="B5479" s="8" t="s">
        <v>8048</v>
      </c>
      <c r="C5479" t="s">
        <v>6194</v>
      </c>
      <c r="D5479" s="8" t="s">
        <v>6195</v>
      </c>
    </row>
    <row r="5480" spans="1:4" x14ac:dyDescent="0.35">
      <c r="A5480" t="s">
        <v>8047</v>
      </c>
      <c r="B5480" s="8" t="s">
        <v>8048</v>
      </c>
      <c r="C5480" t="s">
        <v>7554</v>
      </c>
      <c r="D5480" s="8" t="s">
        <v>7555</v>
      </c>
    </row>
    <row r="5481" spans="1:4" x14ac:dyDescent="0.35">
      <c r="A5481" t="s">
        <v>8049</v>
      </c>
      <c r="B5481" s="8" t="s">
        <v>4093</v>
      </c>
      <c r="C5481" t="s">
        <v>6841</v>
      </c>
      <c r="D5481" s="8" t="s">
        <v>6842</v>
      </c>
    </row>
    <row r="5482" spans="1:4" x14ac:dyDescent="0.35">
      <c r="A5482" t="s">
        <v>8049</v>
      </c>
      <c r="B5482" s="8" t="s">
        <v>4093</v>
      </c>
      <c r="C5482" t="s">
        <v>6194</v>
      </c>
      <c r="D5482" s="8" t="s">
        <v>6195</v>
      </c>
    </row>
    <row r="5483" spans="1:4" x14ac:dyDescent="0.35">
      <c r="A5483" t="s">
        <v>8049</v>
      </c>
      <c r="B5483" s="8" t="s">
        <v>4093</v>
      </c>
      <c r="C5483" t="s">
        <v>7554</v>
      </c>
      <c r="D5483" s="8" t="s">
        <v>7555</v>
      </c>
    </row>
    <row r="5484" spans="1:4" x14ac:dyDescent="0.35">
      <c r="A5484" t="s">
        <v>8050</v>
      </c>
      <c r="B5484" s="8" t="s">
        <v>8051</v>
      </c>
      <c r="C5484" t="s">
        <v>6841</v>
      </c>
      <c r="D5484" s="8" t="s">
        <v>6842</v>
      </c>
    </row>
    <row r="5485" spans="1:4" x14ac:dyDescent="0.35">
      <c r="A5485" t="s">
        <v>8050</v>
      </c>
      <c r="B5485" s="8" t="s">
        <v>8051</v>
      </c>
      <c r="C5485" t="s">
        <v>6194</v>
      </c>
      <c r="D5485" s="8" t="s">
        <v>6195</v>
      </c>
    </row>
    <row r="5486" spans="1:4" x14ac:dyDescent="0.35">
      <c r="A5486" t="s">
        <v>8050</v>
      </c>
      <c r="B5486" s="8" t="s">
        <v>8051</v>
      </c>
      <c r="C5486" t="s">
        <v>7536</v>
      </c>
      <c r="D5486" s="8" t="s">
        <v>7537</v>
      </c>
    </row>
    <row r="5487" spans="1:4" x14ac:dyDescent="0.35">
      <c r="A5487" t="s">
        <v>8052</v>
      </c>
      <c r="B5487" s="8" t="s">
        <v>8053</v>
      </c>
      <c r="C5487" t="s">
        <v>6841</v>
      </c>
      <c r="D5487" s="8" t="s">
        <v>6842</v>
      </c>
    </row>
    <row r="5488" spans="1:4" x14ac:dyDescent="0.35">
      <c r="A5488" t="s">
        <v>8052</v>
      </c>
      <c r="B5488" s="8" t="s">
        <v>8053</v>
      </c>
      <c r="C5488" t="s">
        <v>6194</v>
      </c>
      <c r="D5488" s="8" t="s">
        <v>6195</v>
      </c>
    </row>
    <row r="5489" spans="1:4" x14ac:dyDescent="0.35">
      <c r="A5489" t="s">
        <v>8052</v>
      </c>
      <c r="B5489" s="8" t="s">
        <v>8053</v>
      </c>
      <c r="C5489" t="s">
        <v>7554</v>
      </c>
      <c r="D5489" s="8" t="s">
        <v>7555</v>
      </c>
    </row>
    <row r="5490" spans="1:4" x14ac:dyDescent="0.35">
      <c r="A5490" t="s">
        <v>8054</v>
      </c>
      <c r="B5490" s="8" t="s">
        <v>8055</v>
      </c>
      <c r="C5490" t="s">
        <v>6841</v>
      </c>
      <c r="D5490" s="8" t="s">
        <v>6842</v>
      </c>
    </row>
    <row r="5491" spans="1:4" x14ac:dyDescent="0.35">
      <c r="A5491" t="s">
        <v>8054</v>
      </c>
      <c r="B5491" s="8" t="s">
        <v>8055</v>
      </c>
      <c r="C5491" t="s">
        <v>6194</v>
      </c>
      <c r="D5491" s="8" t="s">
        <v>6195</v>
      </c>
    </row>
    <row r="5492" spans="1:4" x14ac:dyDescent="0.35">
      <c r="A5492" t="s">
        <v>8054</v>
      </c>
      <c r="B5492" s="8" t="s">
        <v>8055</v>
      </c>
      <c r="C5492" t="s">
        <v>7554</v>
      </c>
      <c r="D5492" s="8" t="s">
        <v>7555</v>
      </c>
    </row>
    <row r="5493" spans="1:4" x14ac:dyDescent="0.35">
      <c r="A5493" t="s">
        <v>8054</v>
      </c>
      <c r="B5493" s="8" t="s">
        <v>8055</v>
      </c>
      <c r="C5493" t="s">
        <v>7562</v>
      </c>
      <c r="D5493" s="8" t="s">
        <v>7563</v>
      </c>
    </row>
    <row r="5494" spans="1:4" x14ac:dyDescent="0.35">
      <c r="A5494" t="s">
        <v>8056</v>
      </c>
      <c r="B5494" s="8" t="s">
        <v>3778</v>
      </c>
      <c r="C5494" t="s">
        <v>6841</v>
      </c>
      <c r="D5494" s="8" t="s">
        <v>6842</v>
      </c>
    </row>
    <row r="5495" spans="1:4" x14ac:dyDescent="0.35">
      <c r="A5495" t="s">
        <v>8056</v>
      </c>
      <c r="B5495" s="8" t="s">
        <v>3778</v>
      </c>
      <c r="C5495" t="s">
        <v>6194</v>
      </c>
      <c r="D5495" s="8" t="s">
        <v>6195</v>
      </c>
    </row>
    <row r="5496" spans="1:4" x14ac:dyDescent="0.35">
      <c r="A5496" t="s">
        <v>8056</v>
      </c>
      <c r="B5496" s="8" t="s">
        <v>3778</v>
      </c>
      <c r="C5496" t="s">
        <v>7554</v>
      </c>
      <c r="D5496" s="8" t="s">
        <v>7555</v>
      </c>
    </row>
    <row r="5497" spans="1:4" x14ac:dyDescent="0.35">
      <c r="A5497" t="s">
        <v>8057</v>
      </c>
      <c r="B5497" s="8" t="s">
        <v>8058</v>
      </c>
      <c r="C5497" t="s">
        <v>6841</v>
      </c>
      <c r="D5497" s="8" t="s">
        <v>6842</v>
      </c>
    </row>
    <row r="5498" spans="1:4" x14ac:dyDescent="0.35">
      <c r="A5498" t="s">
        <v>8057</v>
      </c>
      <c r="B5498" s="8" t="s">
        <v>8058</v>
      </c>
      <c r="C5498" t="s">
        <v>6194</v>
      </c>
      <c r="D5498" s="8" t="s">
        <v>6195</v>
      </c>
    </row>
    <row r="5499" spans="1:4" x14ac:dyDescent="0.35">
      <c r="A5499" t="s">
        <v>8057</v>
      </c>
      <c r="B5499" s="8" t="s">
        <v>8058</v>
      </c>
      <c r="C5499" t="s">
        <v>7554</v>
      </c>
      <c r="D5499" s="8" t="s">
        <v>7555</v>
      </c>
    </row>
    <row r="5500" spans="1:4" x14ac:dyDescent="0.35">
      <c r="A5500" t="s">
        <v>8059</v>
      </c>
      <c r="B5500" s="8" t="s">
        <v>3780</v>
      </c>
      <c r="C5500" t="s">
        <v>6194</v>
      </c>
      <c r="D5500" s="8" t="s">
        <v>6195</v>
      </c>
    </row>
    <row r="5501" spans="1:4" x14ac:dyDescent="0.35">
      <c r="A5501" t="s">
        <v>8059</v>
      </c>
      <c r="B5501" s="8" t="s">
        <v>3780</v>
      </c>
      <c r="C5501" t="s">
        <v>7530</v>
      </c>
      <c r="D5501" s="8" t="s">
        <v>7531</v>
      </c>
    </row>
    <row r="5502" spans="1:4" x14ac:dyDescent="0.35">
      <c r="A5502" t="s">
        <v>8060</v>
      </c>
      <c r="B5502" s="8" t="s">
        <v>8061</v>
      </c>
      <c r="C5502" t="s">
        <v>6841</v>
      </c>
      <c r="D5502" s="8" t="s">
        <v>6842</v>
      </c>
    </row>
    <row r="5503" spans="1:4" x14ac:dyDescent="0.35">
      <c r="A5503" t="s">
        <v>8060</v>
      </c>
      <c r="B5503" s="8" t="s">
        <v>8061</v>
      </c>
      <c r="C5503" t="s">
        <v>6194</v>
      </c>
      <c r="D5503" s="8" t="s">
        <v>6195</v>
      </c>
    </row>
    <row r="5504" spans="1:4" x14ac:dyDescent="0.35">
      <c r="A5504" t="s">
        <v>8060</v>
      </c>
      <c r="B5504" s="8" t="s">
        <v>8061</v>
      </c>
      <c r="C5504" t="s">
        <v>7530</v>
      </c>
      <c r="D5504" s="8" t="s">
        <v>7531</v>
      </c>
    </row>
    <row r="5505" spans="1:4" x14ac:dyDescent="0.35">
      <c r="A5505" t="s">
        <v>8062</v>
      </c>
      <c r="B5505" s="8" t="s">
        <v>3797</v>
      </c>
      <c r="C5505" t="s">
        <v>6194</v>
      </c>
      <c r="D5505" s="8" t="s">
        <v>6195</v>
      </c>
    </row>
    <row r="5506" spans="1:4" x14ac:dyDescent="0.35">
      <c r="A5506" t="s">
        <v>8062</v>
      </c>
      <c r="B5506" s="8" t="s">
        <v>3797</v>
      </c>
      <c r="C5506" t="s">
        <v>7534</v>
      </c>
      <c r="D5506" s="8" t="s">
        <v>7535</v>
      </c>
    </row>
    <row r="5507" spans="1:4" x14ac:dyDescent="0.35">
      <c r="A5507" t="s">
        <v>8063</v>
      </c>
      <c r="B5507" s="8" t="s">
        <v>3890</v>
      </c>
      <c r="C5507" t="s">
        <v>6841</v>
      </c>
      <c r="D5507" s="8" t="s">
        <v>6842</v>
      </c>
    </row>
    <row r="5508" spans="1:4" x14ac:dyDescent="0.35">
      <c r="A5508" t="s">
        <v>8063</v>
      </c>
      <c r="B5508" s="8" t="s">
        <v>3890</v>
      </c>
      <c r="C5508" t="s">
        <v>6194</v>
      </c>
      <c r="D5508" s="8" t="s">
        <v>6195</v>
      </c>
    </row>
    <row r="5509" spans="1:4" x14ac:dyDescent="0.35">
      <c r="A5509" t="s">
        <v>8063</v>
      </c>
      <c r="B5509" s="8" t="s">
        <v>3890</v>
      </c>
      <c r="C5509" t="s">
        <v>7534</v>
      </c>
      <c r="D5509" s="8" t="s">
        <v>7535</v>
      </c>
    </row>
    <row r="5510" spans="1:4" x14ac:dyDescent="0.35">
      <c r="A5510" t="s">
        <v>8063</v>
      </c>
      <c r="B5510" s="8" t="s">
        <v>3890</v>
      </c>
      <c r="C5510" t="s">
        <v>7548</v>
      </c>
      <c r="D5510" s="8" t="s">
        <v>7549</v>
      </c>
    </row>
    <row r="5511" spans="1:4" x14ac:dyDescent="0.35">
      <c r="A5511" t="s">
        <v>8064</v>
      </c>
      <c r="B5511" s="8" t="s">
        <v>4001</v>
      </c>
      <c r="C5511" t="s">
        <v>6841</v>
      </c>
      <c r="D5511" s="8" t="s">
        <v>6842</v>
      </c>
    </row>
    <row r="5512" spans="1:4" x14ac:dyDescent="0.35">
      <c r="A5512" t="s">
        <v>8064</v>
      </c>
      <c r="B5512" s="8" t="s">
        <v>4001</v>
      </c>
      <c r="C5512" t="s">
        <v>6194</v>
      </c>
      <c r="D5512" s="8" t="s">
        <v>6195</v>
      </c>
    </row>
    <row r="5513" spans="1:4" x14ac:dyDescent="0.35">
      <c r="A5513" t="s">
        <v>8064</v>
      </c>
      <c r="B5513" s="8" t="s">
        <v>4001</v>
      </c>
      <c r="C5513" t="s">
        <v>7534</v>
      </c>
      <c r="D5513" s="8" t="s">
        <v>7535</v>
      </c>
    </row>
    <row r="5514" spans="1:4" x14ac:dyDescent="0.35">
      <c r="A5514" t="s">
        <v>8065</v>
      </c>
      <c r="B5514" s="8" t="s">
        <v>8066</v>
      </c>
      <c r="C5514" t="s">
        <v>6841</v>
      </c>
      <c r="D5514" s="8" t="s">
        <v>6842</v>
      </c>
    </row>
    <row r="5515" spans="1:4" x14ac:dyDescent="0.35">
      <c r="A5515" t="s">
        <v>8065</v>
      </c>
      <c r="B5515" s="8" t="s">
        <v>8066</v>
      </c>
      <c r="C5515" t="s">
        <v>6194</v>
      </c>
      <c r="D5515" s="8" t="s">
        <v>6195</v>
      </c>
    </row>
    <row r="5516" spans="1:4" x14ac:dyDescent="0.35">
      <c r="A5516" t="s">
        <v>8065</v>
      </c>
      <c r="B5516" s="8" t="s">
        <v>8066</v>
      </c>
      <c r="C5516" t="s">
        <v>7534</v>
      </c>
      <c r="D5516" s="8" t="s">
        <v>7535</v>
      </c>
    </row>
    <row r="5517" spans="1:4" x14ac:dyDescent="0.35">
      <c r="A5517" t="s">
        <v>8067</v>
      </c>
      <c r="B5517" s="8" t="s">
        <v>3801</v>
      </c>
      <c r="C5517" t="s">
        <v>6194</v>
      </c>
      <c r="D5517" s="8" t="s">
        <v>6195</v>
      </c>
    </row>
    <row r="5518" spans="1:4" x14ac:dyDescent="0.35">
      <c r="A5518" t="s">
        <v>8067</v>
      </c>
      <c r="B5518" s="8" t="s">
        <v>3801</v>
      </c>
      <c r="C5518" t="s">
        <v>7536</v>
      </c>
      <c r="D5518" s="8" t="s">
        <v>7537</v>
      </c>
    </row>
    <row r="5519" spans="1:4" x14ac:dyDescent="0.35">
      <c r="A5519" t="s">
        <v>8068</v>
      </c>
      <c r="B5519" s="8" t="s">
        <v>8069</v>
      </c>
      <c r="C5519" t="s">
        <v>6841</v>
      </c>
      <c r="D5519" s="8" t="s">
        <v>6842</v>
      </c>
    </row>
    <row r="5520" spans="1:4" x14ac:dyDescent="0.35">
      <c r="A5520" t="s">
        <v>8068</v>
      </c>
      <c r="B5520" s="8" t="s">
        <v>8069</v>
      </c>
      <c r="C5520" t="s">
        <v>6194</v>
      </c>
      <c r="D5520" s="8" t="s">
        <v>6195</v>
      </c>
    </row>
    <row r="5521" spans="1:4" x14ac:dyDescent="0.35">
      <c r="A5521" t="s">
        <v>8068</v>
      </c>
      <c r="B5521" s="8" t="s">
        <v>8069</v>
      </c>
      <c r="C5521" t="s">
        <v>7536</v>
      </c>
      <c r="D5521" s="8" t="s">
        <v>7537</v>
      </c>
    </row>
    <row r="5522" spans="1:4" x14ac:dyDescent="0.35">
      <c r="A5522" t="s">
        <v>8070</v>
      </c>
      <c r="B5522" s="8" t="s">
        <v>8071</v>
      </c>
      <c r="C5522" t="s">
        <v>7065</v>
      </c>
      <c r="D5522" s="8" t="s">
        <v>7066</v>
      </c>
    </row>
    <row r="5523" spans="1:4" x14ac:dyDescent="0.35">
      <c r="A5523" t="s">
        <v>8070</v>
      </c>
      <c r="B5523" s="8" t="s">
        <v>8071</v>
      </c>
      <c r="C5523" t="s">
        <v>6841</v>
      </c>
      <c r="D5523" s="8" t="s">
        <v>6842</v>
      </c>
    </row>
    <row r="5524" spans="1:4" x14ac:dyDescent="0.35">
      <c r="A5524" t="s">
        <v>8070</v>
      </c>
      <c r="B5524" s="8" t="s">
        <v>8071</v>
      </c>
      <c r="C5524" t="s">
        <v>6194</v>
      </c>
      <c r="D5524" s="8" t="s">
        <v>6195</v>
      </c>
    </row>
    <row r="5525" spans="1:4" x14ac:dyDescent="0.35">
      <c r="A5525" t="s">
        <v>8070</v>
      </c>
      <c r="B5525" s="8" t="s">
        <v>8071</v>
      </c>
      <c r="C5525" t="s">
        <v>7536</v>
      </c>
      <c r="D5525" s="8" t="s">
        <v>7537</v>
      </c>
    </row>
    <row r="5526" spans="1:4" x14ac:dyDescent="0.35">
      <c r="A5526" t="s">
        <v>8072</v>
      </c>
      <c r="B5526" s="8" t="s">
        <v>8073</v>
      </c>
      <c r="C5526" t="s">
        <v>6841</v>
      </c>
      <c r="D5526" s="8" t="s">
        <v>6842</v>
      </c>
    </row>
    <row r="5527" spans="1:4" x14ac:dyDescent="0.35">
      <c r="A5527" t="s">
        <v>8072</v>
      </c>
      <c r="B5527" s="8" t="s">
        <v>8073</v>
      </c>
      <c r="C5527" t="s">
        <v>6194</v>
      </c>
      <c r="D5527" s="8" t="s">
        <v>6195</v>
      </c>
    </row>
    <row r="5528" spans="1:4" x14ac:dyDescent="0.35">
      <c r="A5528" t="s">
        <v>8072</v>
      </c>
      <c r="B5528" s="8" t="s">
        <v>8073</v>
      </c>
      <c r="C5528" t="s">
        <v>7536</v>
      </c>
      <c r="D5528" s="8" t="s">
        <v>7537</v>
      </c>
    </row>
    <row r="5529" spans="1:4" x14ac:dyDescent="0.35">
      <c r="A5529" t="s">
        <v>8074</v>
      </c>
      <c r="B5529" s="8" t="s">
        <v>3803</v>
      </c>
      <c r="C5529" t="s">
        <v>6194</v>
      </c>
      <c r="D5529" s="8" t="s">
        <v>6195</v>
      </c>
    </row>
    <row r="5530" spans="1:4" x14ac:dyDescent="0.35">
      <c r="A5530" t="s">
        <v>8074</v>
      </c>
      <c r="B5530" s="8" t="s">
        <v>3803</v>
      </c>
      <c r="C5530" t="s">
        <v>7538</v>
      </c>
      <c r="D5530" s="8" t="s">
        <v>7539</v>
      </c>
    </row>
    <row r="5531" spans="1:4" x14ac:dyDescent="0.35">
      <c r="A5531" t="s">
        <v>8075</v>
      </c>
      <c r="B5531" s="8" t="s">
        <v>8076</v>
      </c>
      <c r="C5531" t="s">
        <v>6841</v>
      </c>
      <c r="D5531" s="8" t="s">
        <v>6842</v>
      </c>
    </row>
    <row r="5532" spans="1:4" x14ac:dyDescent="0.35">
      <c r="A5532" t="s">
        <v>8075</v>
      </c>
      <c r="B5532" s="8" t="s">
        <v>8076</v>
      </c>
      <c r="C5532" t="s">
        <v>6194</v>
      </c>
      <c r="D5532" s="8" t="s">
        <v>6195</v>
      </c>
    </row>
    <row r="5533" spans="1:4" x14ac:dyDescent="0.35">
      <c r="A5533" t="s">
        <v>8075</v>
      </c>
      <c r="B5533" s="8" t="s">
        <v>8076</v>
      </c>
      <c r="C5533" t="s">
        <v>7538</v>
      </c>
      <c r="D5533" s="8" t="s">
        <v>7539</v>
      </c>
    </row>
    <row r="5534" spans="1:4" x14ac:dyDescent="0.35">
      <c r="A5534" t="s">
        <v>8077</v>
      </c>
      <c r="B5534" s="8" t="s">
        <v>3807</v>
      </c>
      <c r="C5534" t="s">
        <v>6194</v>
      </c>
      <c r="D5534" s="8" t="s">
        <v>6195</v>
      </c>
    </row>
    <row r="5535" spans="1:4" x14ac:dyDescent="0.35">
      <c r="A5535" t="s">
        <v>8077</v>
      </c>
      <c r="B5535" s="8" t="s">
        <v>3807</v>
      </c>
      <c r="C5535" t="s">
        <v>7540</v>
      </c>
      <c r="D5535" s="8" t="s">
        <v>7541</v>
      </c>
    </row>
    <row r="5536" spans="1:4" x14ac:dyDescent="0.35">
      <c r="A5536" t="s">
        <v>8078</v>
      </c>
      <c r="B5536" s="8" t="s">
        <v>3863</v>
      </c>
      <c r="C5536" t="s">
        <v>6841</v>
      </c>
      <c r="D5536" s="8" t="s">
        <v>6842</v>
      </c>
    </row>
    <row r="5537" spans="1:4" x14ac:dyDescent="0.35">
      <c r="A5537" t="s">
        <v>8078</v>
      </c>
      <c r="B5537" s="8" t="s">
        <v>3863</v>
      </c>
      <c r="C5537" t="s">
        <v>6194</v>
      </c>
      <c r="D5537" s="8" t="s">
        <v>6195</v>
      </c>
    </row>
    <row r="5538" spans="1:4" x14ac:dyDescent="0.35">
      <c r="A5538" t="s">
        <v>8078</v>
      </c>
      <c r="B5538" s="8" t="s">
        <v>3863</v>
      </c>
      <c r="C5538" t="s">
        <v>7532</v>
      </c>
      <c r="D5538" s="8" t="s">
        <v>7533</v>
      </c>
    </row>
    <row r="5539" spans="1:4" x14ac:dyDescent="0.35">
      <c r="A5539" t="s">
        <v>8079</v>
      </c>
      <c r="B5539" s="8" t="s">
        <v>3875</v>
      </c>
      <c r="C5539" t="s">
        <v>6841</v>
      </c>
      <c r="D5539" s="8" t="s">
        <v>6842</v>
      </c>
    </row>
    <row r="5540" spans="1:4" x14ac:dyDescent="0.35">
      <c r="A5540" t="s">
        <v>8079</v>
      </c>
      <c r="B5540" s="8" t="s">
        <v>3875</v>
      </c>
      <c r="C5540" t="s">
        <v>6194</v>
      </c>
      <c r="D5540" s="8" t="s">
        <v>6195</v>
      </c>
    </row>
    <row r="5541" spans="1:4" x14ac:dyDescent="0.35">
      <c r="A5541" t="s">
        <v>8079</v>
      </c>
      <c r="B5541" s="8" t="s">
        <v>3875</v>
      </c>
      <c r="C5541" t="s">
        <v>7532</v>
      </c>
      <c r="D5541" s="8" t="s">
        <v>7533</v>
      </c>
    </row>
    <row r="5542" spans="1:4" x14ac:dyDescent="0.35">
      <c r="A5542" t="s">
        <v>8080</v>
      </c>
      <c r="B5542" s="8" t="s">
        <v>3898</v>
      </c>
      <c r="C5542" t="s">
        <v>6841</v>
      </c>
      <c r="D5542" s="8" t="s">
        <v>6842</v>
      </c>
    </row>
    <row r="5543" spans="1:4" x14ac:dyDescent="0.35">
      <c r="A5543" t="s">
        <v>8080</v>
      </c>
      <c r="B5543" s="8" t="s">
        <v>3898</v>
      </c>
      <c r="C5543" t="s">
        <v>6194</v>
      </c>
      <c r="D5543" s="8" t="s">
        <v>6195</v>
      </c>
    </row>
    <row r="5544" spans="1:4" x14ac:dyDescent="0.35">
      <c r="A5544" t="s">
        <v>8080</v>
      </c>
      <c r="B5544" s="8" t="s">
        <v>3898</v>
      </c>
      <c r="C5544" t="s">
        <v>7554</v>
      </c>
      <c r="D5544" s="8" t="s">
        <v>7555</v>
      </c>
    </row>
    <row r="5545" spans="1:4" x14ac:dyDescent="0.35">
      <c r="A5545" t="s">
        <v>8081</v>
      </c>
      <c r="B5545" s="8" t="s">
        <v>3907</v>
      </c>
      <c r="C5545" t="s">
        <v>6841</v>
      </c>
      <c r="D5545" s="8" t="s">
        <v>6842</v>
      </c>
    </row>
    <row r="5546" spans="1:4" x14ac:dyDescent="0.35">
      <c r="A5546" t="s">
        <v>8081</v>
      </c>
      <c r="B5546" s="8" t="s">
        <v>3907</v>
      </c>
      <c r="C5546" t="s">
        <v>6194</v>
      </c>
      <c r="D5546" s="8" t="s">
        <v>6195</v>
      </c>
    </row>
    <row r="5547" spans="1:4" x14ac:dyDescent="0.35">
      <c r="A5547" t="s">
        <v>8081</v>
      </c>
      <c r="B5547" s="8" t="s">
        <v>3907</v>
      </c>
      <c r="C5547" t="s">
        <v>7554</v>
      </c>
      <c r="D5547" s="8" t="s">
        <v>7555</v>
      </c>
    </row>
    <row r="5548" spans="1:4" x14ac:dyDescent="0.35">
      <c r="A5548" t="s">
        <v>8082</v>
      </c>
      <c r="B5548" s="8" t="s">
        <v>3922</v>
      </c>
      <c r="C5548" t="s">
        <v>6841</v>
      </c>
      <c r="D5548" s="8" t="s">
        <v>6842</v>
      </c>
    </row>
    <row r="5549" spans="1:4" x14ac:dyDescent="0.35">
      <c r="A5549" t="s">
        <v>8082</v>
      </c>
      <c r="B5549" s="8" t="s">
        <v>3922</v>
      </c>
      <c r="C5549" t="s">
        <v>6194</v>
      </c>
      <c r="D5549" s="8" t="s">
        <v>6195</v>
      </c>
    </row>
    <row r="5550" spans="1:4" x14ac:dyDescent="0.35">
      <c r="A5550" t="s">
        <v>8082</v>
      </c>
      <c r="B5550" s="8" t="s">
        <v>3922</v>
      </c>
      <c r="C5550" t="s">
        <v>7554</v>
      </c>
      <c r="D5550" s="8" t="s">
        <v>7555</v>
      </c>
    </row>
    <row r="5551" spans="1:4" x14ac:dyDescent="0.35">
      <c r="A5551" t="s">
        <v>8083</v>
      </c>
      <c r="B5551" s="8" t="s">
        <v>8084</v>
      </c>
      <c r="C5551" t="s">
        <v>6841</v>
      </c>
      <c r="D5551" s="8" t="s">
        <v>6842</v>
      </c>
    </row>
    <row r="5552" spans="1:4" x14ac:dyDescent="0.35">
      <c r="A5552" t="s">
        <v>8083</v>
      </c>
      <c r="B5552" s="8" t="s">
        <v>8084</v>
      </c>
      <c r="C5552" t="s">
        <v>6194</v>
      </c>
      <c r="D5552" s="8" t="s">
        <v>6195</v>
      </c>
    </row>
    <row r="5553" spans="1:4" x14ac:dyDescent="0.35">
      <c r="A5553" t="s">
        <v>8083</v>
      </c>
      <c r="B5553" s="8" t="s">
        <v>8084</v>
      </c>
      <c r="C5553" t="s">
        <v>7554</v>
      </c>
      <c r="D5553" s="8" t="s">
        <v>7555</v>
      </c>
    </row>
    <row r="5554" spans="1:4" x14ac:dyDescent="0.35">
      <c r="A5554" t="s">
        <v>8085</v>
      </c>
      <c r="B5554" s="8" t="s">
        <v>3931</v>
      </c>
      <c r="C5554" t="s">
        <v>6841</v>
      </c>
      <c r="D5554" s="8" t="s">
        <v>6842</v>
      </c>
    </row>
    <row r="5555" spans="1:4" x14ac:dyDescent="0.35">
      <c r="A5555" t="s">
        <v>8085</v>
      </c>
      <c r="B5555" s="8" t="s">
        <v>3931</v>
      </c>
      <c r="C5555" t="s">
        <v>6194</v>
      </c>
      <c r="D5555" s="8" t="s">
        <v>6195</v>
      </c>
    </row>
    <row r="5556" spans="1:4" x14ac:dyDescent="0.35">
      <c r="A5556" t="s">
        <v>8085</v>
      </c>
      <c r="B5556" s="8" t="s">
        <v>3931</v>
      </c>
      <c r="C5556" t="s">
        <v>7554</v>
      </c>
      <c r="D5556" s="8" t="s">
        <v>7555</v>
      </c>
    </row>
    <row r="5557" spans="1:4" x14ac:dyDescent="0.35">
      <c r="A5557" t="s">
        <v>8086</v>
      </c>
      <c r="B5557" s="8" t="s">
        <v>3934</v>
      </c>
      <c r="C5557" t="s">
        <v>6841</v>
      </c>
      <c r="D5557" s="8" t="s">
        <v>6842</v>
      </c>
    </row>
    <row r="5558" spans="1:4" x14ac:dyDescent="0.35">
      <c r="A5558" t="s">
        <v>8086</v>
      </c>
      <c r="B5558" s="8" t="s">
        <v>3934</v>
      </c>
      <c r="C5558" t="s">
        <v>6194</v>
      </c>
      <c r="D5558" s="8" t="s">
        <v>6195</v>
      </c>
    </row>
    <row r="5559" spans="1:4" x14ac:dyDescent="0.35">
      <c r="A5559" t="s">
        <v>8086</v>
      </c>
      <c r="B5559" s="8" t="s">
        <v>3934</v>
      </c>
      <c r="C5559" t="s">
        <v>7532</v>
      </c>
      <c r="D5559" s="8" t="s">
        <v>7533</v>
      </c>
    </row>
    <row r="5560" spans="1:4" x14ac:dyDescent="0.35">
      <c r="A5560" t="s">
        <v>8087</v>
      </c>
      <c r="B5560" s="8" t="s">
        <v>3965</v>
      </c>
      <c r="C5560" t="s">
        <v>6841</v>
      </c>
      <c r="D5560" s="8" t="s">
        <v>6842</v>
      </c>
    </row>
    <row r="5561" spans="1:4" x14ac:dyDescent="0.35">
      <c r="A5561" t="s">
        <v>8087</v>
      </c>
      <c r="B5561" s="8" t="s">
        <v>3965</v>
      </c>
      <c r="C5561" t="s">
        <v>6194</v>
      </c>
      <c r="D5561" s="8" t="s">
        <v>6195</v>
      </c>
    </row>
    <row r="5562" spans="1:4" x14ac:dyDescent="0.35">
      <c r="A5562" t="s">
        <v>8087</v>
      </c>
      <c r="B5562" s="8" t="s">
        <v>3965</v>
      </c>
      <c r="C5562" t="s">
        <v>7554</v>
      </c>
      <c r="D5562" s="8" t="s">
        <v>7555</v>
      </c>
    </row>
    <row r="5563" spans="1:4" x14ac:dyDescent="0.35">
      <c r="A5563" t="s">
        <v>8088</v>
      </c>
      <c r="B5563" s="8" t="s">
        <v>3950</v>
      </c>
      <c r="C5563" t="s">
        <v>6841</v>
      </c>
      <c r="D5563" s="8" t="s">
        <v>6842</v>
      </c>
    </row>
    <row r="5564" spans="1:4" x14ac:dyDescent="0.35">
      <c r="A5564" t="s">
        <v>8088</v>
      </c>
      <c r="B5564" s="8" t="s">
        <v>3950</v>
      </c>
      <c r="C5564" t="s">
        <v>6194</v>
      </c>
      <c r="D5564" s="8" t="s">
        <v>6195</v>
      </c>
    </row>
    <row r="5565" spans="1:4" x14ac:dyDescent="0.35">
      <c r="A5565" t="s">
        <v>8088</v>
      </c>
      <c r="B5565" s="8" t="s">
        <v>3950</v>
      </c>
      <c r="C5565" t="s">
        <v>7554</v>
      </c>
      <c r="D5565" s="8" t="s">
        <v>7555</v>
      </c>
    </row>
    <row r="5566" spans="1:4" x14ac:dyDescent="0.35">
      <c r="A5566" t="s">
        <v>8089</v>
      </c>
      <c r="B5566" s="8" t="s">
        <v>4061</v>
      </c>
      <c r="C5566" t="s">
        <v>6841</v>
      </c>
      <c r="D5566" s="8" t="s">
        <v>6842</v>
      </c>
    </row>
    <row r="5567" spans="1:4" x14ac:dyDescent="0.35">
      <c r="A5567" t="s">
        <v>8089</v>
      </c>
      <c r="B5567" s="8" t="s">
        <v>4061</v>
      </c>
      <c r="C5567" t="s">
        <v>6194</v>
      </c>
      <c r="D5567" s="8" t="s">
        <v>6195</v>
      </c>
    </row>
    <row r="5568" spans="1:4" x14ac:dyDescent="0.35">
      <c r="A5568" t="s">
        <v>8089</v>
      </c>
      <c r="B5568" s="8" t="s">
        <v>4061</v>
      </c>
      <c r="C5568" t="s">
        <v>7554</v>
      </c>
      <c r="D5568" s="8" t="s">
        <v>7555</v>
      </c>
    </row>
    <row r="5569" spans="1:4" x14ac:dyDescent="0.35">
      <c r="A5569" t="s">
        <v>8090</v>
      </c>
      <c r="B5569" s="8" t="s">
        <v>4070</v>
      </c>
      <c r="C5569" t="s">
        <v>6841</v>
      </c>
      <c r="D5569" s="8" t="s">
        <v>6842</v>
      </c>
    </row>
    <row r="5570" spans="1:4" x14ac:dyDescent="0.35">
      <c r="A5570" t="s">
        <v>8090</v>
      </c>
      <c r="B5570" s="8" t="s">
        <v>4070</v>
      </c>
      <c r="C5570" t="s">
        <v>6194</v>
      </c>
      <c r="D5570" s="8" t="s">
        <v>6195</v>
      </c>
    </row>
    <row r="5571" spans="1:4" x14ac:dyDescent="0.35">
      <c r="A5571" t="s">
        <v>8090</v>
      </c>
      <c r="B5571" s="8" t="s">
        <v>4070</v>
      </c>
      <c r="C5571" t="s">
        <v>7554</v>
      </c>
      <c r="D5571" s="8" t="s">
        <v>7555</v>
      </c>
    </row>
    <row r="5572" spans="1:4" x14ac:dyDescent="0.35">
      <c r="A5572" t="s">
        <v>8091</v>
      </c>
      <c r="B5572" s="8" t="s">
        <v>4090</v>
      </c>
      <c r="C5572" t="s">
        <v>6841</v>
      </c>
      <c r="D5572" s="8" t="s">
        <v>6842</v>
      </c>
    </row>
    <row r="5573" spans="1:4" x14ac:dyDescent="0.35">
      <c r="A5573" t="s">
        <v>8091</v>
      </c>
      <c r="B5573" s="8" t="s">
        <v>4090</v>
      </c>
      <c r="C5573" t="s">
        <v>6194</v>
      </c>
      <c r="D5573" s="8" t="s">
        <v>6195</v>
      </c>
    </row>
    <row r="5574" spans="1:4" x14ac:dyDescent="0.35">
      <c r="A5574" t="s">
        <v>8091</v>
      </c>
      <c r="B5574" s="8" t="s">
        <v>4090</v>
      </c>
      <c r="C5574" t="s">
        <v>7554</v>
      </c>
      <c r="D5574" s="8" t="s">
        <v>7555</v>
      </c>
    </row>
    <row r="5575" spans="1:4" x14ac:dyDescent="0.35">
      <c r="A5575" t="s">
        <v>8092</v>
      </c>
      <c r="B5575" s="8" t="s">
        <v>8093</v>
      </c>
      <c r="C5575" t="s">
        <v>6841</v>
      </c>
      <c r="D5575" s="8" t="s">
        <v>6842</v>
      </c>
    </row>
    <row r="5576" spans="1:4" x14ac:dyDescent="0.35">
      <c r="A5576" t="s">
        <v>8092</v>
      </c>
      <c r="B5576" s="8" t="s">
        <v>8093</v>
      </c>
      <c r="C5576" t="s">
        <v>6194</v>
      </c>
      <c r="D5576" s="8" t="s">
        <v>6195</v>
      </c>
    </row>
    <row r="5577" spans="1:4" x14ac:dyDescent="0.35">
      <c r="A5577" t="s">
        <v>8092</v>
      </c>
      <c r="B5577" s="8" t="s">
        <v>8093</v>
      </c>
      <c r="C5577" t="s">
        <v>7554</v>
      </c>
      <c r="D5577" s="8" t="s">
        <v>7555</v>
      </c>
    </row>
    <row r="5578" spans="1:4" x14ac:dyDescent="0.35">
      <c r="A5578" t="s">
        <v>8094</v>
      </c>
      <c r="B5578" s="8" t="s">
        <v>3784</v>
      </c>
      <c r="C5578" t="s">
        <v>6841</v>
      </c>
      <c r="D5578" s="8" t="s">
        <v>6842</v>
      </c>
    </row>
    <row r="5579" spans="1:4" x14ac:dyDescent="0.35">
      <c r="A5579" t="s">
        <v>8094</v>
      </c>
      <c r="B5579" s="8" t="s">
        <v>3784</v>
      </c>
      <c r="C5579" t="s">
        <v>6194</v>
      </c>
      <c r="D5579" s="8" t="s">
        <v>6195</v>
      </c>
    </row>
    <row r="5580" spans="1:4" x14ac:dyDescent="0.35">
      <c r="A5580" t="s">
        <v>8094</v>
      </c>
      <c r="B5580" s="8" t="s">
        <v>3784</v>
      </c>
      <c r="C5580" t="s">
        <v>7554</v>
      </c>
      <c r="D5580" s="8" t="s">
        <v>7555</v>
      </c>
    </row>
    <row r="5581" spans="1:4" x14ac:dyDescent="0.35">
      <c r="A5581" t="s">
        <v>8095</v>
      </c>
      <c r="B5581" s="8" t="s">
        <v>3791</v>
      </c>
      <c r="C5581" t="s">
        <v>6841</v>
      </c>
      <c r="D5581" s="8" t="s">
        <v>6842</v>
      </c>
    </row>
    <row r="5582" spans="1:4" x14ac:dyDescent="0.35">
      <c r="A5582" t="s">
        <v>8095</v>
      </c>
      <c r="B5582" s="8" t="s">
        <v>3791</v>
      </c>
      <c r="C5582" t="s">
        <v>6194</v>
      </c>
      <c r="D5582" s="8" t="s">
        <v>6195</v>
      </c>
    </row>
    <row r="5583" spans="1:4" x14ac:dyDescent="0.35">
      <c r="A5583" t="s">
        <v>8095</v>
      </c>
      <c r="B5583" s="8" t="s">
        <v>3791</v>
      </c>
      <c r="C5583" t="s">
        <v>7554</v>
      </c>
      <c r="D5583" s="8" t="s">
        <v>7555</v>
      </c>
    </row>
    <row r="5584" spans="1:4" x14ac:dyDescent="0.35">
      <c r="A5584" t="s">
        <v>8096</v>
      </c>
      <c r="B5584" s="8" t="s">
        <v>8097</v>
      </c>
      <c r="C5584" t="s">
        <v>6841</v>
      </c>
      <c r="D5584" s="8" t="s">
        <v>6842</v>
      </c>
    </row>
    <row r="5585" spans="1:4" x14ac:dyDescent="0.35">
      <c r="A5585" t="s">
        <v>8096</v>
      </c>
      <c r="B5585" s="8" t="s">
        <v>8097</v>
      </c>
      <c r="C5585" t="s">
        <v>6194</v>
      </c>
      <c r="D5585" s="8" t="s">
        <v>6195</v>
      </c>
    </row>
    <row r="5586" spans="1:4" x14ac:dyDescent="0.35">
      <c r="A5586" t="s">
        <v>8096</v>
      </c>
      <c r="B5586" s="8" t="s">
        <v>8097</v>
      </c>
      <c r="C5586" t="s">
        <v>7554</v>
      </c>
      <c r="D5586" s="8" t="s">
        <v>7555</v>
      </c>
    </row>
    <row r="5587" spans="1:4" x14ac:dyDescent="0.35">
      <c r="A5587" t="s">
        <v>8098</v>
      </c>
      <c r="B5587" s="8" t="s">
        <v>3942</v>
      </c>
      <c r="C5587" t="s">
        <v>6841</v>
      </c>
      <c r="D5587" s="8" t="s">
        <v>6842</v>
      </c>
    </row>
    <row r="5588" spans="1:4" x14ac:dyDescent="0.35">
      <c r="A5588" t="s">
        <v>8098</v>
      </c>
      <c r="B5588" s="8" t="s">
        <v>3942</v>
      </c>
      <c r="C5588" t="s">
        <v>6194</v>
      </c>
      <c r="D5588" s="8" t="s">
        <v>6195</v>
      </c>
    </row>
    <row r="5589" spans="1:4" x14ac:dyDescent="0.35">
      <c r="A5589" t="s">
        <v>8098</v>
      </c>
      <c r="B5589" s="8" t="s">
        <v>3942</v>
      </c>
      <c r="C5589" t="s">
        <v>7554</v>
      </c>
      <c r="D5589" s="8" t="s">
        <v>7555</v>
      </c>
    </row>
    <row r="5590" spans="1:4" x14ac:dyDescent="0.35">
      <c r="A5590" t="s">
        <v>8099</v>
      </c>
      <c r="B5590" s="8" t="s">
        <v>8100</v>
      </c>
      <c r="C5590" t="s">
        <v>6841</v>
      </c>
      <c r="D5590" s="8" t="s">
        <v>6842</v>
      </c>
    </row>
    <row r="5591" spans="1:4" x14ac:dyDescent="0.35">
      <c r="A5591" t="s">
        <v>8099</v>
      </c>
      <c r="B5591" s="8" t="s">
        <v>8100</v>
      </c>
      <c r="C5591" t="s">
        <v>6194</v>
      </c>
      <c r="D5591" s="8" t="s">
        <v>6195</v>
      </c>
    </row>
    <row r="5592" spans="1:4" x14ac:dyDescent="0.35">
      <c r="A5592" t="s">
        <v>8099</v>
      </c>
      <c r="B5592" s="8" t="s">
        <v>8100</v>
      </c>
      <c r="C5592" t="s">
        <v>7554</v>
      </c>
      <c r="D5592" s="8" t="s">
        <v>7555</v>
      </c>
    </row>
    <row r="5593" spans="1:4" x14ac:dyDescent="0.35">
      <c r="A5593" t="s">
        <v>8101</v>
      </c>
      <c r="B5593" s="8" t="s">
        <v>3809</v>
      </c>
      <c r="C5593" t="s">
        <v>6194</v>
      </c>
      <c r="D5593" s="8" t="s">
        <v>6195</v>
      </c>
    </row>
    <row r="5594" spans="1:4" x14ac:dyDescent="0.35">
      <c r="A5594" t="s">
        <v>8101</v>
      </c>
      <c r="B5594" s="8" t="s">
        <v>3809</v>
      </c>
      <c r="C5594" t="s">
        <v>7562</v>
      </c>
      <c r="D5594" s="8" t="s">
        <v>7563</v>
      </c>
    </row>
    <row r="5595" spans="1:4" x14ac:dyDescent="0.35">
      <c r="A5595" t="s">
        <v>8102</v>
      </c>
      <c r="B5595" s="8" t="s">
        <v>8103</v>
      </c>
      <c r="C5595" t="s">
        <v>6841</v>
      </c>
      <c r="D5595" s="8" t="s">
        <v>6842</v>
      </c>
    </row>
    <row r="5596" spans="1:4" x14ac:dyDescent="0.35">
      <c r="A5596" t="s">
        <v>8102</v>
      </c>
      <c r="B5596" s="8" t="s">
        <v>8103</v>
      </c>
      <c r="C5596" t="s">
        <v>6194</v>
      </c>
      <c r="D5596" s="8" t="s">
        <v>6195</v>
      </c>
    </row>
    <row r="5597" spans="1:4" x14ac:dyDescent="0.35">
      <c r="A5597" t="s">
        <v>8102</v>
      </c>
      <c r="B5597" s="8" t="s">
        <v>8103</v>
      </c>
      <c r="C5597" t="s">
        <v>7562</v>
      </c>
      <c r="D5597" s="8" t="s">
        <v>7563</v>
      </c>
    </row>
    <row r="5598" spans="1:4" x14ac:dyDescent="0.35">
      <c r="A5598" t="s">
        <v>8104</v>
      </c>
      <c r="B5598" s="8" t="s">
        <v>3811</v>
      </c>
      <c r="C5598" t="s">
        <v>6194</v>
      </c>
      <c r="D5598" s="8" t="s">
        <v>6195</v>
      </c>
    </row>
    <row r="5599" spans="1:4" x14ac:dyDescent="0.35">
      <c r="A5599" t="s">
        <v>8104</v>
      </c>
      <c r="B5599" s="8" t="s">
        <v>3811</v>
      </c>
      <c r="C5599" t="s">
        <v>7542</v>
      </c>
      <c r="D5599" s="8" t="s">
        <v>7543</v>
      </c>
    </row>
    <row r="5600" spans="1:4" x14ac:dyDescent="0.35">
      <c r="A5600" t="s">
        <v>8105</v>
      </c>
      <c r="B5600" s="8" t="s">
        <v>3782</v>
      </c>
      <c r="C5600" t="s">
        <v>6194</v>
      </c>
      <c r="D5600" s="8" t="s">
        <v>6195</v>
      </c>
    </row>
    <row r="5601" spans="1:4" x14ac:dyDescent="0.35">
      <c r="A5601" t="s">
        <v>8105</v>
      </c>
      <c r="B5601" s="8" t="s">
        <v>3782</v>
      </c>
      <c r="C5601" t="s">
        <v>7542</v>
      </c>
      <c r="D5601" s="8" t="s">
        <v>7543</v>
      </c>
    </row>
    <row r="5602" spans="1:4" x14ac:dyDescent="0.35">
      <c r="A5602" t="s">
        <v>8106</v>
      </c>
      <c r="B5602" s="8" t="s">
        <v>3878</v>
      </c>
      <c r="C5602" t="s">
        <v>6841</v>
      </c>
      <c r="D5602" s="8" t="s">
        <v>6842</v>
      </c>
    </row>
    <row r="5603" spans="1:4" x14ac:dyDescent="0.35">
      <c r="A5603" t="s">
        <v>8106</v>
      </c>
      <c r="B5603" s="8" t="s">
        <v>3878</v>
      </c>
      <c r="C5603" t="s">
        <v>6194</v>
      </c>
      <c r="D5603" s="8" t="s">
        <v>6195</v>
      </c>
    </row>
    <row r="5604" spans="1:4" x14ac:dyDescent="0.35">
      <c r="A5604" t="s">
        <v>8106</v>
      </c>
      <c r="B5604" s="8" t="s">
        <v>3878</v>
      </c>
      <c r="C5604" t="s">
        <v>7542</v>
      </c>
      <c r="D5604" s="8" t="s">
        <v>7543</v>
      </c>
    </row>
    <row r="5605" spans="1:4" x14ac:dyDescent="0.35">
      <c r="A5605" t="s">
        <v>8107</v>
      </c>
      <c r="B5605" s="8" t="s">
        <v>8108</v>
      </c>
      <c r="C5605" t="s">
        <v>6841</v>
      </c>
      <c r="D5605" s="8" t="s">
        <v>6842</v>
      </c>
    </row>
    <row r="5606" spans="1:4" x14ac:dyDescent="0.35">
      <c r="A5606" t="s">
        <v>8107</v>
      </c>
      <c r="B5606" s="8" t="s">
        <v>8108</v>
      </c>
      <c r="C5606" t="s">
        <v>6194</v>
      </c>
      <c r="D5606" s="8" t="s">
        <v>6195</v>
      </c>
    </row>
    <row r="5607" spans="1:4" x14ac:dyDescent="0.35">
      <c r="A5607" t="s">
        <v>8107</v>
      </c>
      <c r="B5607" s="8" t="s">
        <v>8108</v>
      </c>
      <c r="C5607" t="s">
        <v>7542</v>
      </c>
      <c r="D5607" s="8" t="s">
        <v>7543</v>
      </c>
    </row>
    <row r="5608" spans="1:4" x14ac:dyDescent="0.35">
      <c r="A5608" t="s">
        <v>8109</v>
      </c>
      <c r="B5608" s="8" t="s">
        <v>8110</v>
      </c>
      <c r="C5608" t="s">
        <v>6841</v>
      </c>
      <c r="D5608" s="8" t="s">
        <v>6842</v>
      </c>
    </row>
    <row r="5609" spans="1:4" x14ac:dyDescent="0.35">
      <c r="A5609" t="s">
        <v>8109</v>
      </c>
      <c r="B5609" s="8" t="s">
        <v>8110</v>
      </c>
      <c r="C5609" t="s">
        <v>6194</v>
      </c>
      <c r="D5609" s="8" t="s">
        <v>6195</v>
      </c>
    </row>
    <row r="5610" spans="1:4" x14ac:dyDescent="0.35">
      <c r="A5610" t="s">
        <v>8109</v>
      </c>
      <c r="B5610" s="8" t="s">
        <v>8110</v>
      </c>
      <c r="C5610" t="s">
        <v>7542</v>
      </c>
      <c r="D5610" s="8" t="s">
        <v>7543</v>
      </c>
    </row>
    <row r="5611" spans="1:4" x14ac:dyDescent="0.35">
      <c r="A5611" t="s">
        <v>8111</v>
      </c>
      <c r="B5611" s="8" t="s">
        <v>3968</v>
      </c>
      <c r="C5611" t="s">
        <v>6841</v>
      </c>
      <c r="D5611" s="8" t="s">
        <v>6842</v>
      </c>
    </row>
    <row r="5612" spans="1:4" x14ac:dyDescent="0.35">
      <c r="A5612" t="s">
        <v>8111</v>
      </c>
      <c r="B5612" s="8" t="s">
        <v>3968</v>
      </c>
      <c r="C5612" t="s">
        <v>6194</v>
      </c>
      <c r="D5612" s="8" t="s">
        <v>6195</v>
      </c>
    </row>
    <row r="5613" spans="1:4" x14ac:dyDescent="0.35">
      <c r="A5613" t="s">
        <v>8111</v>
      </c>
      <c r="B5613" s="8" t="s">
        <v>3968</v>
      </c>
      <c r="C5613" t="s">
        <v>7542</v>
      </c>
      <c r="D5613" s="8" t="s">
        <v>7543</v>
      </c>
    </row>
    <row r="5614" spans="1:4" x14ac:dyDescent="0.35">
      <c r="A5614" t="s">
        <v>8112</v>
      </c>
      <c r="B5614" s="8" t="s">
        <v>4099</v>
      </c>
      <c r="C5614" t="s">
        <v>6841</v>
      </c>
      <c r="D5614" s="8" t="s">
        <v>6842</v>
      </c>
    </row>
    <row r="5615" spans="1:4" x14ac:dyDescent="0.35">
      <c r="A5615" t="s">
        <v>8112</v>
      </c>
      <c r="B5615" s="8" t="s">
        <v>4099</v>
      </c>
      <c r="C5615" t="s">
        <v>6194</v>
      </c>
      <c r="D5615" s="8" t="s">
        <v>6195</v>
      </c>
    </row>
    <row r="5616" spans="1:4" x14ac:dyDescent="0.35">
      <c r="A5616" t="s">
        <v>8112</v>
      </c>
      <c r="B5616" s="8" t="s">
        <v>4099</v>
      </c>
      <c r="C5616" t="s">
        <v>7542</v>
      </c>
      <c r="D5616" s="8" t="s">
        <v>7543</v>
      </c>
    </row>
    <row r="5617" spans="1:4" x14ac:dyDescent="0.35">
      <c r="A5617" t="s">
        <v>8113</v>
      </c>
      <c r="B5617" s="8" t="s">
        <v>8114</v>
      </c>
      <c r="C5617" t="s">
        <v>6841</v>
      </c>
      <c r="D5617" s="8" t="s">
        <v>6842</v>
      </c>
    </row>
    <row r="5618" spans="1:4" x14ac:dyDescent="0.35">
      <c r="A5618" t="s">
        <v>8113</v>
      </c>
      <c r="B5618" s="8" t="s">
        <v>8114</v>
      </c>
      <c r="C5618" t="s">
        <v>6194</v>
      </c>
      <c r="D5618" s="8" t="s">
        <v>6195</v>
      </c>
    </row>
    <row r="5619" spans="1:4" x14ac:dyDescent="0.35">
      <c r="A5619" t="s">
        <v>8113</v>
      </c>
      <c r="B5619" s="8" t="s">
        <v>8114</v>
      </c>
      <c r="C5619" t="s">
        <v>7542</v>
      </c>
      <c r="D5619" s="8" t="s">
        <v>7543</v>
      </c>
    </row>
    <row r="5620" spans="1:4" x14ac:dyDescent="0.35">
      <c r="A5620" t="s">
        <v>8115</v>
      </c>
      <c r="B5620" s="8" t="s">
        <v>3813</v>
      </c>
      <c r="C5620" t="s">
        <v>6194</v>
      </c>
      <c r="D5620" s="8" t="s">
        <v>6195</v>
      </c>
    </row>
    <row r="5621" spans="1:4" x14ac:dyDescent="0.35">
      <c r="A5621" t="s">
        <v>8115</v>
      </c>
      <c r="B5621" s="8" t="s">
        <v>3813</v>
      </c>
      <c r="C5621" t="s">
        <v>7552</v>
      </c>
      <c r="D5621" s="8" t="s">
        <v>7553</v>
      </c>
    </row>
    <row r="5622" spans="1:4" x14ac:dyDescent="0.35">
      <c r="A5622" t="s">
        <v>8116</v>
      </c>
      <c r="B5622" s="8" t="s">
        <v>8117</v>
      </c>
      <c r="C5622" t="s">
        <v>6841</v>
      </c>
      <c r="D5622" s="8" t="s">
        <v>6842</v>
      </c>
    </row>
    <row r="5623" spans="1:4" x14ac:dyDescent="0.35">
      <c r="A5623" t="s">
        <v>8116</v>
      </c>
      <c r="B5623" s="8" t="s">
        <v>8117</v>
      </c>
      <c r="C5623" t="s">
        <v>6194</v>
      </c>
      <c r="D5623" s="8" t="s">
        <v>6195</v>
      </c>
    </row>
    <row r="5624" spans="1:4" x14ac:dyDescent="0.35">
      <c r="A5624" t="s">
        <v>8116</v>
      </c>
      <c r="B5624" s="8" t="s">
        <v>8117</v>
      </c>
      <c r="C5624" t="s">
        <v>7552</v>
      </c>
      <c r="D5624" s="8" t="s">
        <v>7553</v>
      </c>
    </row>
    <row r="5625" spans="1:4" x14ac:dyDescent="0.35">
      <c r="A5625" t="s">
        <v>8118</v>
      </c>
      <c r="B5625" s="8" t="s">
        <v>3815</v>
      </c>
      <c r="C5625" t="s">
        <v>6194</v>
      </c>
      <c r="D5625" s="8" t="s">
        <v>6195</v>
      </c>
    </row>
    <row r="5626" spans="1:4" x14ac:dyDescent="0.35">
      <c r="A5626" t="s">
        <v>8118</v>
      </c>
      <c r="B5626" s="8" t="s">
        <v>3815</v>
      </c>
      <c r="C5626" t="s">
        <v>7544</v>
      </c>
      <c r="D5626" s="8" t="s">
        <v>7545</v>
      </c>
    </row>
    <row r="5627" spans="1:4" x14ac:dyDescent="0.35">
      <c r="A5627" t="s">
        <v>8119</v>
      </c>
      <c r="B5627" s="8" t="s">
        <v>3916</v>
      </c>
      <c r="C5627" t="s">
        <v>6841</v>
      </c>
      <c r="D5627" s="8" t="s">
        <v>6842</v>
      </c>
    </row>
    <row r="5628" spans="1:4" x14ac:dyDescent="0.35">
      <c r="A5628" t="s">
        <v>8119</v>
      </c>
      <c r="B5628" s="8" t="s">
        <v>3916</v>
      </c>
      <c r="C5628" t="s">
        <v>6194</v>
      </c>
      <c r="D5628" s="8" t="s">
        <v>6195</v>
      </c>
    </row>
    <row r="5629" spans="1:4" x14ac:dyDescent="0.35">
      <c r="A5629" t="s">
        <v>8119</v>
      </c>
      <c r="B5629" s="8" t="s">
        <v>3916</v>
      </c>
      <c r="C5629" t="s">
        <v>7544</v>
      </c>
      <c r="D5629" s="8" t="s">
        <v>7545</v>
      </c>
    </row>
    <row r="5630" spans="1:4" x14ac:dyDescent="0.35">
      <c r="A5630" t="s">
        <v>8120</v>
      </c>
      <c r="B5630" s="8" t="s">
        <v>3940</v>
      </c>
      <c r="C5630" t="s">
        <v>6841</v>
      </c>
      <c r="D5630" s="8" t="s">
        <v>6842</v>
      </c>
    </row>
    <row r="5631" spans="1:4" x14ac:dyDescent="0.35">
      <c r="A5631" t="s">
        <v>8120</v>
      </c>
      <c r="B5631" s="8" t="s">
        <v>3940</v>
      </c>
      <c r="C5631" t="s">
        <v>6194</v>
      </c>
      <c r="D5631" s="8" t="s">
        <v>6195</v>
      </c>
    </row>
    <row r="5632" spans="1:4" x14ac:dyDescent="0.35">
      <c r="A5632" t="s">
        <v>8120</v>
      </c>
      <c r="B5632" s="8" t="s">
        <v>3940</v>
      </c>
      <c r="C5632" t="s">
        <v>7544</v>
      </c>
      <c r="D5632" s="8" t="s">
        <v>7545</v>
      </c>
    </row>
    <row r="5633" spans="1:4" x14ac:dyDescent="0.35">
      <c r="A5633" t="s">
        <v>8121</v>
      </c>
      <c r="B5633" s="8" t="s">
        <v>4067</v>
      </c>
      <c r="C5633" t="s">
        <v>6841</v>
      </c>
      <c r="D5633" s="8" t="s">
        <v>6842</v>
      </c>
    </row>
    <row r="5634" spans="1:4" x14ac:dyDescent="0.35">
      <c r="A5634" t="s">
        <v>8121</v>
      </c>
      <c r="B5634" s="8" t="s">
        <v>4067</v>
      </c>
      <c r="C5634" t="s">
        <v>6194</v>
      </c>
      <c r="D5634" s="8" t="s">
        <v>6195</v>
      </c>
    </row>
    <row r="5635" spans="1:4" x14ac:dyDescent="0.35">
      <c r="A5635" t="s">
        <v>8121</v>
      </c>
      <c r="B5635" s="8" t="s">
        <v>4067</v>
      </c>
      <c r="C5635" t="s">
        <v>7554</v>
      </c>
      <c r="D5635" s="8" t="s">
        <v>7555</v>
      </c>
    </row>
    <row r="5636" spans="1:4" x14ac:dyDescent="0.35">
      <c r="A5636" t="s">
        <v>8122</v>
      </c>
      <c r="B5636" s="8" t="s">
        <v>8123</v>
      </c>
      <c r="C5636" t="s">
        <v>6841</v>
      </c>
      <c r="D5636" s="8" t="s">
        <v>6842</v>
      </c>
    </row>
    <row r="5637" spans="1:4" x14ac:dyDescent="0.35">
      <c r="A5637" t="s">
        <v>8122</v>
      </c>
      <c r="B5637" s="8" t="s">
        <v>8123</v>
      </c>
      <c r="C5637" t="s">
        <v>6194</v>
      </c>
      <c r="D5637" s="8" t="s">
        <v>6195</v>
      </c>
    </row>
    <row r="5638" spans="1:4" x14ac:dyDescent="0.35">
      <c r="A5638" t="s">
        <v>8122</v>
      </c>
      <c r="B5638" s="8" t="s">
        <v>8123</v>
      </c>
      <c r="C5638" t="s">
        <v>7544</v>
      </c>
      <c r="D5638" s="8" t="s">
        <v>7545</v>
      </c>
    </row>
    <row r="5639" spans="1:4" x14ac:dyDescent="0.35">
      <c r="A5639" t="s">
        <v>8124</v>
      </c>
      <c r="B5639" s="8" t="s">
        <v>3819</v>
      </c>
      <c r="C5639" t="s">
        <v>6194</v>
      </c>
      <c r="D5639" s="8" t="s">
        <v>6195</v>
      </c>
    </row>
    <row r="5640" spans="1:4" x14ac:dyDescent="0.35">
      <c r="A5640" t="s">
        <v>8124</v>
      </c>
      <c r="B5640" s="8" t="s">
        <v>3819</v>
      </c>
      <c r="C5640" t="s">
        <v>7556</v>
      </c>
      <c r="D5640" s="8" t="s">
        <v>7557</v>
      </c>
    </row>
    <row r="5641" spans="1:4" x14ac:dyDescent="0.35">
      <c r="A5641" t="s">
        <v>8125</v>
      </c>
      <c r="B5641" s="8" t="s">
        <v>8126</v>
      </c>
      <c r="C5641" t="s">
        <v>6841</v>
      </c>
      <c r="D5641" s="8" t="s">
        <v>6842</v>
      </c>
    </row>
    <row r="5642" spans="1:4" x14ac:dyDescent="0.35">
      <c r="A5642" t="s">
        <v>8125</v>
      </c>
      <c r="B5642" s="8" t="s">
        <v>8126</v>
      </c>
      <c r="C5642" t="s">
        <v>6194</v>
      </c>
      <c r="D5642" s="8" t="s">
        <v>6195</v>
      </c>
    </row>
    <row r="5643" spans="1:4" x14ac:dyDescent="0.35">
      <c r="A5643" t="s">
        <v>8125</v>
      </c>
      <c r="B5643" s="8" t="s">
        <v>8126</v>
      </c>
      <c r="C5643" t="s">
        <v>7556</v>
      </c>
      <c r="D5643" s="8" t="s">
        <v>7557</v>
      </c>
    </row>
    <row r="5644" spans="1:4" x14ac:dyDescent="0.35">
      <c r="A5644" t="s">
        <v>8127</v>
      </c>
      <c r="B5644" s="8" t="s">
        <v>3821</v>
      </c>
      <c r="C5644" t="s">
        <v>6194</v>
      </c>
      <c r="D5644" s="8" t="s">
        <v>6195</v>
      </c>
    </row>
    <row r="5645" spans="1:4" x14ac:dyDescent="0.35">
      <c r="A5645" t="s">
        <v>8127</v>
      </c>
      <c r="B5645" s="8" t="s">
        <v>3821</v>
      </c>
      <c r="C5645" t="s">
        <v>7558</v>
      </c>
      <c r="D5645" s="8" t="s">
        <v>7559</v>
      </c>
    </row>
    <row r="5646" spans="1:4" x14ac:dyDescent="0.35">
      <c r="A5646" t="s">
        <v>8127</v>
      </c>
      <c r="B5646" s="8" t="s">
        <v>3821</v>
      </c>
      <c r="C5646" t="s">
        <v>7560</v>
      </c>
      <c r="D5646" s="8" t="s">
        <v>7561</v>
      </c>
    </row>
    <row r="5647" spans="1:4" x14ac:dyDescent="0.35">
      <c r="A5647" t="s">
        <v>8128</v>
      </c>
      <c r="B5647" s="8" t="s">
        <v>3959</v>
      </c>
      <c r="C5647" t="s">
        <v>6841</v>
      </c>
      <c r="D5647" s="8" t="s">
        <v>6842</v>
      </c>
    </row>
    <row r="5648" spans="1:4" x14ac:dyDescent="0.35">
      <c r="A5648" t="s">
        <v>8128</v>
      </c>
      <c r="B5648" s="8" t="s">
        <v>3959</v>
      </c>
      <c r="C5648" t="s">
        <v>6194</v>
      </c>
      <c r="D5648" s="8" t="s">
        <v>6195</v>
      </c>
    </row>
    <row r="5649" spans="1:4" x14ac:dyDescent="0.35">
      <c r="A5649" t="s">
        <v>8128</v>
      </c>
      <c r="B5649" s="8" t="s">
        <v>3959</v>
      </c>
      <c r="C5649" t="s">
        <v>7554</v>
      </c>
      <c r="D5649" s="8" t="s">
        <v>7555</v>
      </c>
    </row>
    <row r="5650" spans="1:4" x14ac:dyDescent="0.35">
      <c r="A5650" t="s">
        <v>8129</v>
      </c>
      <c r="B5650" s="8" t="s">
        <v>3986</v>
      </c>
      <c r="C5650" t="s">
        <v>6841</v>
      </c>
      <c r="D5650" s="8" t="s">
        <v>6842</v>
      </c>
    </row>
    <row r="5651" spans="1:4" x14ac:dyDescent="0.35">
      <c r="A5651" t="s">
        <v>8129</v>
      </c>
      <c r="B5651" s="8" t="s">
        <v>3986</v>
      </c>
      <c r="C5651" t="s">
        <v>6194</v>
      </c>
      <c r="D5651" s="8" t="s">
        <v>6195</v>
      </c>
    </row>
    <row r="5652" spans="1:4" x14ac:dyDescent="0.35">
      <c r="A5652" t="s">
        <v>8129</v>
      </c>
      <c r="B5652" s="8" t="s">
        <v>3986</v>
      </c>
      <c r="C5652" t="s">
        <v>7554</v>
      </c>
      <c r="D5652" s="8" t="s">
        <v>7555</v>
      </c>
    </row>
    <row r="5653" spans="1:4" x14ac:dyDescent="0.35">
      <c r="A5653" t="s">
        <v>8130</v>
      </c>
      <c r="B5653" s="8" t="s">
        <v>3989</v>
      </c>
      <c r="C5653" t="s">
        <v>6841</v>
      </c>
      <c r="D5653" s="8" t="s">
        <v>6842</v>
      </c>
    </row>
    <row r="5654" spans="1:4" x14ac:dyDescent="0.35">
      <c r="A5654" t="s">
        <v>8130</v>
      </c>
      <c r="B5654" s="8" t="s">
        <v>3989</v>
      </c>
      <c r="C5654" t="s">
        <v>6194</v>
      </c>
      <c r="D5654" s="8" t="s">
        <v>6195</v>
      </c>
    </row>
    <row r="5655" spans="1:4" x14ac:dyDescent="0.35">
      <c r="A5655" t="s">
        <v>8130</v>
      </c>
      <c r="B5655" s="8" t="s">
        <v>3989</v>
      </c>
      <c r="C5655" t="s">
        <v>7558</v>
      </c>
      <c r="D5655" s="8" t="s">
        <v>7559</v>
      </c>
    </row>
    <row r="5656" spans="1:4" x14ac:dyDescent="0.35">
      <c r="A5656" t="s">
        <v>8130</v>
      </c>
      <c r="B5656" s="8" t="s">
        <v>3989</v>
      </c>
      <c r="C5656" t="s">
        <v>7560</v>
      </c>
      <c r="D5656" s="8" t="s">
        <v>7561</v>
      </c>
    </row>
    <row r="5657" spans="1:4" x14ac:dyDescent="0.35">
      <c r="A5657" t="s">
        <v>8131</v>
      </c>
      <c r="B5657" s="8" t="s">
        <v>4022</v>
      </c>
      <c r="C5657" t="s">
        <v>6841</v>
      </c>
      <c r="D5657" s="8" t="s">
        <v>6842</v>
      </c>
    </row>
    <row r="5658" spans="1:4" x14ac:dyDescent="0.35">
      <c r="A5658" t="s">
        <v>8131</v>
      </c>
      <c r="B5658" s="8" t="s">
        <v>4022</v>
      </c>
      <c r="C5658" t="s">
        <v>6194</v>
      </c>
      <c r="D5658" s="8" t="s">
        <v>6195</v>
      </c>
    </row>
    <row r="5659" spans="1:4" x14ac:dyDescent="0.35">
      <c r="A5659" t="s">
        <v>8131</v>
      </c>
      <c r="B5659" s="8" t="s">
        <v>4022</v>
      </c>
      <c r="C5659" t="s">
        <v>7560</v>
      </c>
      <c r="D5659" s="8" t="s">
        <v>7561</v>
      </c>
    </row>
    <row r="5660" spans="1:4" x14ac:dyDescent="0.35">
      <c r="A5660" t="s">
        <v>8132</v>
      </c>
      <c r="B5660" s="8" t="s">
        <v>8133</v>
      </c>
      <c r="C5660" t="s">
        <v>6841</v>
      </c>
      <c r="D5660" s="8" t="s">
        <v>6842</v>
      </c>
    </row>
    <row r="5661" spans="1:4" x14ac:dyDescent="0.35">
      <c r="A5661" t="s">
        <v>8132</v>
      </c>
      <c r="B5661" s="8" t="s">
        <v>8133</v>
      </c>
      <c r="C5661" t="s">
        <v>6194</v>
      </c>
      <c r="D5661" s="8" t="s">
        <v>6195</v>
      </c>
    </row>
    <row r="5662" spans="1:4" x14ac:dyDescent="0.35">
      <c r="A5662" t="s">
        <v>8132</v>
      </c>
      <c r="B5662" s="8" t="s">
        <v>8133</v>
      </c>
      <c r="C5662" t="s">
        <v>7558</v>
      </c>
      <c r="D5662" s="8" t="s">
        <v>7559</v>
      </c>
    </row>
    <row r="5663" spans="1:4" x14ac:dyDescent="0.35">
      <c r="A5663" t="s">
        <v>8134</v>
      </c>
      <c r="B5663" s="8" t="s">
        <v>8135</v>
      </c>
      <c r="C5663" t="s">
        <v>6194</v>
      </c>
      <c r="D5663" s="8" t="s">
        <v>6195</v>
      </c>
    </row>
    <row r="5664" spans="1:4" x14ac:dyDescent="0.35">
      <c r="A5664" t="s">
        <v>8134</v>
      </c>
      <c r="B5664" s="8" t="s">
        <v>8135</v>
      </c>
      <c r="C5664" t="s">
        <v>7554</v>
      </c>
      <c r="D5664" s="8" t="s">
        <v>7555</v>
      </c>
    </row>
    <row r="5665" spans="1:4" x14ac:dyDescent="0.35">
      <c r="A5665" t="s">
        <v>8136</v>
      </c>
      <c r="B5665" s="8" t="s">
        <v>8137</v>
      </c>
      <c r="C5665" t="s">
        <v>6841</v>
      </c>
      <c r="D5665" s="8" t="s">
        <v>6842</v>
      </c>
    </row>
    <row r="5666" spans="1:4" x14ac:dyDescent="0.35">
      <c r="A5666" t="s">
        <v>8136</v>
      </c>
      <c r="B5666" s="8" t="s">
        <v>8137</v>
      </c>
      <c r="C5666" t="s">
        <v>6194</v>
      </c>
      <c r="D5666" s="8" t="s">
        <v>6195</v>
      </c>
    </row>
    <row r="5667" spans="1:4" x14ac:dyDescent="0.35">
      <c r="A5667" t="s">
        <v>8136</v>
      </c>
      <c r="B5667" s="8" t="s">
        <v>8137</v>
      </c>
      <c r="C5667" t="s">
        <v>7554</v>
      </c>
      <c r="D5667" s="8" t="s">
        <v>7555</v>
      </c>
    </row>
    <row r="5668" spans="1:4" x14ac:dyDescent="0.35">
      <c r="A5668" t="s">
        <v>8138</v>
      </c>
      <c r="B5668" s="8" t="s">
        <v>3823</v>
      </c>
      <c r="C5668" t="s">
        <v>6194</v>
      </c>
      <c r="D5668" s="8" t="s">
        <v>6195</v>
      </c>
    </row>
    <row r="5669" spans="1:4" x14ac:dyDescent="0.35">
      <c r="A5669" t="s">
        <v>8138</v>
      </c>
      <c r="B5669" s="8" t="s">
        <v>3823</v>
      </c>
      <c r="C5669" t="s">
        <v>7554</v>
      </c>
      <c r="D5669" s="8" t="s">
        <v>7555</v>
      </c>
    </row>
    <row r="5670" spans="1:4" x14ac:dyDescent="0.35">
      <c r="A5670" t="s">
        <v>8138</v>
      </c>
      <c r="B5670" s="8" t="s">
        <v>3823</v>
      </c>
      <c r="C5670" t="s">
        <v>7562</v>
      </c>
      <c r="D5670" s="8" t="s">
        <v>7563</v>
      </c>
    </row>
    <row r="5671" spans="1:4" x14ac:dyDescent="0.35">
      <c r="A5671" t="s">
        <v>8139</v>
      </c>
      <c r="B5671" s="8" t="s">
        <v>3980</v>
      </c>
      <c r="C5671" t="s">
        <v>6841</v>
      </c>
      <c r="D5671" s="8" t="s">
        <v>6842</v>
      </c>
    </row>
    <row r="5672" spans="1:4" x14ac:dyDescent="0.35">
      <c r="A5672" t="s">
        <v>8139</v>
      </c>
      <c r="B5672" s="8" t="s">
        <v>3980</v>
      </c>
      <c r="C5672" t="s">
        <v>6194</v>
      </c>
      <c r="D5672" s="8" t="s">
        <v>6195</v>
      </c>
    </row>
    <row r="5673" spans="1:4" x14ac:dyDescent="0.35">
      <c r="A5673" t="s">
        <v>8139</v>
      </c>
      <c r="B5673" s="8" t="s">
        <v>3980</v>
      </c>
      <c r="C5673" t="s">
        <v>7554</v>
      </c>
      <c r="D5673" s="8" t="s">
        <v>7555</v>
      </c>
    </row>
    <row r="5674" spans="1:4" x14ac:dyDescent="0.35">
      <c r="A5674" t="s">
        <v>8139</v>
      </c>
      <c r="B5674" s="8" t="s">
        <v>3980</v>
      </c>
      <c r="C5674" t="s">
        <v>7562</v>
      </c>
      <c r="D5674" s="8" t="s">
        <v>7563</v>
      </c>
    </row>
    <row r="5675" spans="1:4" x14ac:dyDescent="0.35">
      <c r="A5675" t="s">
        <v>8140</v>
      </c>
      <c r="B5675" s="8" t="s">
        <v>4025</v>
      </c>
      <c r="C5675" t="s">
        <v>6841</v>
      </c>
      <c r="D5675" s="8" t="s">
        <v>6842</v>
      </c>
    </row>
    <row r="5676" spans="1:4" x14ac:dyDescent="0.35">
      <c r="A5676" t="s">
        <v>8140</v>
      </c>
      <c r="B5676" s="8" t="s">
        <v>4025</v>
      </c>
      <c r="C5676" t="s">
        <v>6194</v>
      </c>
      <c r="D5676" s="8" t="s">
        <v>6195</v>
      </c>
    </row>
    <row r="5677" spans="1:4" x14ac:dyDescent="0.35">
      <c r="A5677" t="s">
        <v>8140</v>
      </c>
      <c r="B5677" s="8" t="s">
        <v>4025</v>
      </c>
      <c r="C5677" t="s">
        <v>7546</v>
      </c>
      <c r="D5677" s="8" t="s">
        <v>7547</v>
      </c>
    </row>
    <row r="5678" spans="1:4" x14ac:dyDescent="0.35">
      <c r="A5678" t="s">
        <v>8140</v>
      </c>
      <c r="B5678" s="8" t="s">
        <v>4025</v>
      </c>
      <c r="C5678" t="s">
        <v>7560</v>
      </c>
      <c r="D5678" s="8" t="s">
        <v>7561</v>
      </c>
    </row>
    <row r="5679" spans="1:4" x14ac:dyDescent="0.35">
      <c r="A5679" t="s">
        <v>8141</v>
      </c>
      <c r="B5679" s="8" t="s">
        <v>8142</v>
      </c>
      <c r="C5679" t="s">
        <v>6841</v>
      </c>
      <c r="D5679" s="8" t="s">
        <v>6842</v>
      </c>
    </row>
    <row r="5680" spans="1:4" x14ac:dyDescent="0.35">
      <c r="A5680" t="s">
        <v>8141</v>
      </c>
      <c r="B5680" s="8" t="s">
        <v>8142</v>
      </c>
      <c r="C5680" t="s">
        <v>6194</v>
      </c>
      <c r="D5680" s="8" t="s">
        <v>6195</v>
      </c>
    </row>
    <row r="5681" spans="1:4" x14ac:dyDescent="0.35">
      <c r="A5681" t="s">
        <v>8141</v>
      </c>
      <c r="B5681" s="8" t="s">
        <v>8142</v>
      </c>
      <c r="C5681" t="s">
        <v>7554</v>
      </c>
      <c r="D5681" s="8" t="s">
        <v>7555</v>
      </c>
    </row>
    <row r="5682" spans="1:4" x14ac:dyDescent="0.35">
      <c r="A5682" t="s">
        <v>8141</v>
      </c>
      <c r="B5682" s="8" t="s">
        <v>8142</v>
      </c>
      <c r="C5682" t="s">
        <v>7562</v>
      </c>
      <c r="D5682" s="8" t="s">
        <v>7563</v>
      </c>
    </row>
    <row r="5683" spans="1:4" x14ac:dyDescent="0.35">
      <c r="A5683" t="s">
        <v>8143</v>
      </c>
      <c r="B5683" s="8" t="s">
        <v>3826</v>
      </c>
      <c r="C5683" t="s">
        <v>6194</v>
      </c>
      <c r="D5683" s="8" t="s">
        <v>6195</v>
      </c>
    </row>
    <row r="5684" spans="1:4" x14ac:dyDescent="0.35">
      <c r="A5684" t="s">
        <v>8143</v>
      </c>
      <c r="B5684" s="8" t="s">
        <v>3826</v>
      </c>
      <c r="C5684" t="s">
        <v>7548</v>
      </c>
      <c r="D5684" s="8" t="s">
        <v>7549</v>
      </c>
    </row>
    <row r="5685" spans="1:4" x14ac:dyDescent="0.35">
      <c r="A5685" t="s">
        <v>8144</v>
      </c>
      <c r="B5685" s="8" t="s">
        <v>8145</v>
      </c>
      <c r="C5685" t="s">
        <v>6194</v>
      </c>
      <c r="D5685" s="8" t="s">
        <v>6195</v>
      </c>
    </row>
    <row r="5686" spans="1:4" x14ac:dyDescent="0.35">
      <c r="A5686" t="s">
        <v>8144</v>
      </c>
      <c r="B5686" s="8" t="s">
        <v>8145</v>
      </c>
      <c r="C5686" t="s">
        <v>7548</v>
      </c>
      <c r="D5686" s="8" t="s">
        <v>7549</v>
      </c>
    </row>
    <row r="5687" spans="1:4" x14ac:dyDescent="0.35">
      <c r="A5687" t="s">
        <v>8146</v>
      </c>
      <c r="B5687" s="8" t="s">
        <v>8147</v>
      </c>
      <c r="C5687" t="s">
        <v>6194</v>
      </c>
      <c r="D5687" s="8" t="s">
        <v>6195</v>
      </c>
    </row>
    <row r="5688" spans="1:4" x14ac:dyDescent="0.35">
      <c r="A5688" t="s">
        <v>8146</v>
      </c>
      <c r="B5688" s="8" t="s">
        <v>8147</v>
      </c>
      <c r="C5688" t="s">
        <v>7548</v>
      </c>
      <c r="D5688" s="8" t="s">
        <v>7549</v>
      </c>
    </row>
    <row r="5689" spans="1:4" x14ac:dyDescent="0.35">
      <c r="A5689" t="s">
        <v>8148</v>
      </c>
      <c r="B5689" s="8" t="s">
        <v>3860</v>
      </c>
      <c r="C5689" t="s">
        <v>6841</v>
      </c>
      <c r="D5689" s="8" t="s">
        <v>6842</v>
      </c>
    </row>
    <row r="5690" spans="1:4" x14ac:dyDescent="0.35">
      <c r="A5690" t="s">
        <v>8148</v>
      </c>
      <c r="B5690" s="8" t="s">
        <v>3860</v>
      </c>
      <c r="C5690" t="s">
        <v>6194</v>
      </c>
      <c r="D5690" s="8" t="s">
        <v>6195</v>
      </c>
    </row>
    <row r="5691" spans="1:4" x14ac:dyDescent="0.35">
      <c r="A5691" t="s">
        <v>8148</v>
      </c>
      <c r="B5691" s="8" t="s">
        <v>3860</v>
      </c>
      <c r="C5691" t="s">
        <v>7548</v>
      </c>
      <c r="D5691" s="8" t="s">
        <v>7549</v>
      </c>
    </row>
    <row r="5692" spans="1:4" x14ac:dyDescent="0.35">
      <c r="A5692" t="s">
        <v>8148</v>
      </c>
      <c r="B5692" s="8" t="s">
        <v>3860</v>
      </c>
      <c r="C5692" t="s">
        <v>7554</v>
      </c>
      <c r="D5692" s="8" t="s">
        <v>7555</v>
      </c>
    </row>
    <row r="5693" spans="1:4" x14ac:dyDescent="0.35">
      <c r="A5693" t="s">
        <v>8149</v>
      </c>
      <c r="B5693" s="8" t="s">
        <v>3866</v>
      </c>
      <c r="C5693" t="s">
        <v>6841</v>
      </c>
      <c r="D5693" s="8" t="s">
        <v>6842</v>
      </c>
    </row>
    <row r="5694" spans="1:4" x14ac:dyDescent="0.35">
      <c r="A5694" t="s">
        <v>8149</v>
      </c>
      <c r="B5694" s="8" t="s">
        <v>3866</v>
      </c>
      <c r="C5694" t="s">
        <v>6194</v>
      </c>
      <c r="D5694" s="8" t="s">
        <v>6195</v>
      </c>
    </row>
    <row r="5695" spans="1:4" x14ac:dyDescent="0.35">
      <c r="A5695" t="s">
        <v>8149</v>
      </c>
      <c r="B5695" s="8" t="s">
        <v>3866</v>
      </c>
      <c r="C5695" t="s">
        <v>7548</v>
      </c>
      <c r="D5695" s="8" t="s">
        <v>7549</v>
      </c>
    </row>
    <row r="5696" spans="1:4" x14ac:dyDescent="0.35">
      <c r="A5696" t="s">
        <v>8150</v>
      </c>
      <c r="B5696" s="8" t="s">
        <v>3887</v>
      </c>
      <c r="C5696" t="s">
        <v>6841</v>
      </c>
      <c r="D5696" s="8" t="s">
        <v>6842</v>
      </c>
    </row>
    <row r="5697" spans="1:4" x14ac:dyDescent="0.35">
      <c r="A5697" t="s">
        <v>8150</v>
      </c>
      <c r="B5697" s="8" t="s">
        <v>3887</v>
      </c>
      <c r="C5697" t="s">
        <v>6194</v>
      </c>
      <c r="D5697" s="8" t="s">
        <v>6195</v>
      </c>
    </row>
    <row r="5698" spans="1:4" x14ac:dyDescent="0.35">
      <c r="A5698" t="s">
        <v>8150</v>
      </c>
      <c r="B5698" s="8" t="s">
        <v>3887</v>
      </c>
      <c r="C5698" t="s">
        <v>7548</v>
      </c>
      <c r="D5698" s="8" t="s">
        <v>7549</v>
      </c>
    </row>
    <row r="5699" spans="1:4" x14ac:dyDescent="0.35">
      <c r="A5699" t="s">
        <v>8151</v>
      </c>
      <c r="B5699" s="8" t="s">
        <v>3901</v>
      </c>
      <c r="C5699" t="s">
        <v>6841</v>
      </c>
      <c r="D5699" s="8" t="s">
        <v>6842</v>
      </c>
    </row>
    <row r="5700" spans="1:4" x14ac:dyDescent="0.35">
      <c r="A5700" t="s">
        <v>8151</v>
      </c>
      <c r="B5700" s="8" t="s">
        <v>3901</v>
      </c>
      <c r="C5700" t="s">
        <v>6194</v>
      </c>
      <c r="D5700" s="8" t="s">
        <v>6195</v>
      </c>
    </row>
    <row r="5701" spans="1:4" x14ac:dyDescent="0.35">
      <c r="A5701" t="s">
        <v>8151</v>
      </c>
      <c r="B5701" s="8" t="s">
        <v>3901</v>
      </c>
      <c r="C5701" t="s">
        <v>7548</v>
      </c>
      <c r="D5701" s="8" t="s">
        <v>7549</v>
      </c>
    </row>
    <row r="5702" spans="1:4" x14ac:dyDescent="0.35">
      <c r="A5702" t="s">
        <v>8152</v>
      </c>
      <c r="B5702" s="8" t="s">
        <v>3919</v>
      </c>
      <c r="C5702" t="s">
        <v>6841</v>
      </c>
      <c r="D5702" s="8" t="s">
        <v>6842</v>
      </c>
    </row>
    <row r="5703" spans="1:4" x14ac:dyDescent="0.35">
      <c r="A5703" t="s">
        <v>8152</v>
      </c>
      <c r="B5703" s="8" t="s">
        <v>3919</v>
      </c>
      <c r="C5703" t="s">
        <v>6194</v>
      </c>
      <c r="D5703" s="8" t="s">
        <v>6195</v>
      </c>
    </row>
    <row r="5704" spans="1:4" x14ac:dyDescent="0.35">
      <c r="A5704" t="s">
        <v>8152</v>
      </c>
      <c r="B5704" s="8" t="s">
        <v>3919</v>
      </c>
      <c r="C5704" t="s">
        <v>7548</v>
      </c>
      <c r="D5704" s="8" t="s">
        <v>7549</v>
      </c>
    </row>
    <row r="5705" spans="1:4" x14ac:dyDescent="0.35">
      <c r="A5705" t="s">
        <v>8153</v>
      </c>
      <c r="B5705" s="8" t="s">
        <v>3928</v>
      </c>
      <c r="C5705" t="s">
        <v>6841</v>
      </c>
      <c r="D5705" s="8" t="s">
        <v>6842</v>
      </c>
    </row>
    <row r="5706" spans="1:4" x14ac:dyDescent="0.35">
      <c r="A5706" t="s">
        <v>8153</v>
      </c>
      <c r="B5706" s="8" t="s">
        <v>3928</v>
      </c>
      <c r="C5706" t="s">
        <v>6194</v>
      </c>
      <c r="D5706" s="8" t="s">
        <v>6195</v>
      </c>
    </row>
    <row r="5707" spans="1:4" x14ac:dyDescent="0.35">
      <c r="A5707" t="s">
        <v>8153</v>
      </c>
      <c r="B5707" s="8" t="s">
        <v>3928</v>
      </c>
      <c r="C5707" t="s">
        <v>7548</v>
      </c>
      <c r="D5707" s="8" t="s">
        <v>7549</v>
      </c>
    </row>
    <row r="5708" spans="1:4" x14ac:dyDescent="0.35">
      <c r="A5708" t="s">
        <v>8154</v>
      </c>
      <c r="B5708" s="8" t="s">
        <v>3937</v>
      </c>
      <c r="C5708" t="s">
        <v>6841</v>
      </c>
      <c r="D5708" s="8" t="s">
        <v>6842</v>
      </c>
    </row>
    <row r="5709" spans="1:4" x14ac:dyDescent="0.35">
      <c r="A5709" t="s">
        <v>8154</v>
      </c>
      <c r="B5709" s="8" t="s">
        <v>3937</v>
      </c>
      <c r="C5709" t="s">
        <v>6194</v>
      </c>
      <c r="D5709" s="8" t="s">
        <v>6195</v>
      </c>
    </row>
    <row r="5710" spans="1:4" x14ac:dyDescent="0.35">
      <c r="A5710" t="s">
        <v>8154</v>
      </c>
      <c r="B5710" s="8" t="s">
        <v>3937</v>
      </c>
      <c r="C5710" t="s">
        <v>7548</v>
      </c>
      <c r="D5710" s="8" t="s">
        <v>7549</v>
      </c>
    </row>
    <row r="5711" spans="1:4" x14ac:dyDescent="0.35">
      <c r="A5711" t="s">
        <v>8155</v>
      </c>
      <c r="B5711" s="8" t="s">
        <v>3945</v>
      </c>
      <c r="C5711" t="s">
        <v>6841</v>
      </c>
      <c r="D5711" s="8" t="s">
        <v>6842</v>
      </c>
    </row>
    <row r="5712" spans="1:4" x14ac:dyDescent="0.35">
      <c r="A5712" t="s">
        <v>8155</v>
      </c>
      <c r="B5712" s="8" t="s">
        <v>3945</v>
      </c>
      <c r="C5712" t="s">
        <v>6194</v>
      </c>
      <c r="D5712" s="8" t="s">
        <v>6195</v>
      </c>
    </row>
    <row r="5713" spans="1:4" x14ac:dyDescent="0.35">
      <c r="A5713" t="s">
        <v>8155</v>
      </c>
      <c r="B5713" s="8" t="s">
        <v>3945</v>
      </c>
      <c r="C5713" t="s">
        <v>7548</v>
      </c>
      <c r="D5713" s="8" t="s">
        <v>7549</v>
      </c>
    </row>
    <row r="5714" spans="1:4" x14ac:dyDescent="0.35">
      <c r="A5714" t="s">
        <v>8156</v>
      </c>
      <c r="B5714" s="8" t="s">
        <v>3956</v>
      </c>
      <c r="C5714" t="s">
        <v>6841</v>
      </c>
      <c r="D5714" s="8" t="s">
        <v>6842</v>
      </c>
    </row>
    <row r="5715" spans="1:4" x14ac:dyDescent="0.35">
      <c r="A5715" t="s">
        <v>8156</v>
      </c>
      <c r="B5715" s="8" t="s">
        <v>3956</v>
      </c>
      <c r="C5715" t="s">
        <v>6194</v>
      </c>
      <c r="D5715" s="8" t="s">
        <v>6195</v>
      </c>
    </row>
    <row r="5716" spans="1:4" x14ac:dyDescent="0.35">
      <c r="A5716" t="s">
        <v>8156</v>
      </c>
      <c r="B5716" s="8" t="s">
        <v>3956</v>
      </c>
      <c r="C5716" t="s">
        <v>7548</v>
      </c>
      <c r="D5716" s="8" t="s">
        <v>7549</v>
      </c>
    </row>
    <row r="5717" spans="1:4" x14ac:dyDescent="0.35">
      <c r="A5717" t="s">
        <v>8157</v>
      </c>
      <c r="B5717" s="8" t="s">
        <v>3974</v>
      </c>
      <c r="C5717" t="s">
        <v>6841</v>
      </c>
      <c r="D5717" s="8" t="s">
        <v>6842</v>
      </c>
    </row>
    <row r="5718" spans="1:4" x14ac:dyDescent="0.35">
      <c r="A5718" t="s">
        <v>8157</v>
      </c>
      <c r="B5718" s="8" t="s">
        <v>3974</v>
      </c>
      <c r="C5718" t="s">
        <v>6194</v>
      </c>
      <c r="D5718" s="8" t="s">
        <v>6195</v>
      </c>
    </row>
    <row r="5719" spans="1:4" x14ac:dyDescent="0.35">
      <c r="A5719" t="s">
        <v>8157</v>
      </c>
      <c r="B5719" s="8" t="s">
        <v>3974</v>
      </c>
      <c r="C5719" t="s">
        <v>7548</v>
      </c>
      <c r="D5719" s="8" t="s">
        <v>7549</v>
      </c>
    </row>
    <row r="5720" spans="1:4" x14ac:dyDescent="0.35">
      <c r="A5720" t="s">
        <v>8158</v>
      </c>
      <c r="B5720" s="8" t="s">
        <v>4028</v>
      </c>
      <c r="C5720" t="s">
        <v>6841</v>
      </c>
      <c r="D5720" s="8" t="s">
        <v>6842</v>
      </c>
    </row>
    <row r="5721" spans="1:4" x14ac:dyDescent="0.35">
      <c r="A5721" t="s">
        <v>8158</v>
      </c>
      <c r="B5721" s="8" t="s">
        <v>4028</v>
      </c>
      <c r="C5721" t="s">
        <v>6194</v>
      </c>
      <c r="D5721" s="8" t="s">
        <v>6195</v>
      </c>
    </row>
    <row r="5722" spans="1:4" x14ac:dyDescent="0.35">
      <c r="A5722" t="s">
        <v>8158</v>
      </c>
      <c r="B5722" s="8" t="s">
        <v>4028</v>
      </c>
      <c r="C5722" t="s">
        <v>7548</v>
      </c>
      <c r="D5722" s="8" t="s">
        <v>7549</v>
      </c>
    </row>
    <row r="5723" spans="1:4" x14ac:dyDescent="0.35">
      <c r="A5723" t="s">
        <v>8159</v>
      </c>
      <c r="B5723" s="8" t="s">
        <v>4064</v>
      </c>
      <c r="C5723" t="s">
        <v>6841</v>
      </c>
      <c r="D5723" s="8" t="s">
        <v>6842</v>
      </c>
    </row>
    <row r="5724" spans="1:4" x14ac:dyDescent="0.35">
      <c r="A5724" t="s">
        <v>8159</v>
      </c>
      <c r="B5724" s="8" t="s">
        <v>4064</v>
      </c>
      <c r="C5724" t="s">
        <v>6194</v>
      </c>
      <c r="D5724" s="8" t="s">
        <v>6195</v>
      </c>
    </row>
    <row r="5725" spans="1:4" x14ac:dyDescent="0.35">
      <c r="A5725" t="s">
        <v>8159</v>
      </c>
      <c r="B5725" s="8" t="s">
        <v>4064</v>
      </c>
      <c r="C5725" t="s">
        <v>7548</v>
      </c>
      <c r="D5725" s="8" t="s">
        <v>7549</v>
      </c>
    </row>
    <row r="5726" spans="1:4" x14ac:dyDescent="0.35">
      <c r="A5726" t="s">
        <v>8160</v>
      </c>
      <c r="B5726" s="8" t="s">
        <v>8161</v>
      </c>
      <c r="C5726" t="s">
        <v>6841</v>
      </c>
      <c r="D5726" s="8" t="s">
        <v>6842</v>
      </c>
    </row>
    <row r="5727" spans="1:4" x14ac:dyDescent="0.35">
      <c r="A5727" t="s">
        <v>8160</v>
      </c>
      <c r="B5727" s="8" t="s">
        <v>8161</v>
      </c>
      <c r="C5727" t="s">
        <v>6194</v>
      </c>
      <c r="D5727" s="8" t="s">
        <v>6195</v>
      </c>
    </row>
    <row r="5728" spans="1:4" x14ac:dyDescent="0.35">
      <c r="A5728" t="s">
        <v>8160</v>
      </c>
      <c r="B5728" s="8" t="s">
        <v>8161</v>
      </c>
      <c r="C5728" t="s">
        <v>7548</v>
      </c>
      <c r="D5728" s="8" t="s">
        <v>7549</v>
      </c>
    </row>
    <row r="5729" spans="1:4" x14ac:dyDescent="0.35">
      <c r="A5729" t="s">
        <v>8162</v>
      </c>
      <c r="B5729" s="8" t="s">
        <v>3828</v>
      </c>
      <c r="C5729" t="s">
        <v>6194</v>
      </c>
      <c r="D5729" s="8" t="s">
        <v>6195</v>
      </c>
    </row>
    <row r="5730" spans="1:4" x14ac:dyDescent="0.35">
      <c r="A5730" t="s">
        <v>8162</v>
      </c>
      <c r="B5730" s="8" t="s">
        <v>3828</v>
      </c>
      <c r="C5730" t="s">
        <v>7546</v>
      </c>
      <c r="D5730" s="8" t="s">
        <v>7547</v>
      </c>
    </row>
    <row r="5731" spans="1:4" x14ac:dyDescent="0.35">
      <c r="A5731" t="s">
        <v>8163</v>
      </c>
      <c r="B5731" s="8" t="s">
        <v>3857</v>
      </c>
      <c r="C5731" t="s">
        <v>6841</v>
      </c>
      <c r="D5731" s="8" t="s">
        <v>6842</v>
      </c>
    </row>
    <row r="5732" spans="1:4" x14ac:dyDescent="0.35">
      <c r="A5732" t="s">
        <v>8163</v>
      </c>
      <c r="B5732" s="8" t="s">
        <v>3857</v>
      </c>
      <c r="C5732" t="s">
        <v>6194</v>
      </c>
      <c r="D5732" s="8" t="s">
        <v>6195</v>
      </c>
    </row>
    <row r="5733" spans="1:4" x14ac:dyDescent="0.35">
      <c r="A5733" t="s">
        <v>8163</v>
      </c>
      <c r="B5733" s="8" t="s">
        <v>3857</v>
      </c>
      <c r="C5733" t="s">
        <v>7546</v>
      </c>
      <c r="D5733" s="8" t="s">
        <v>7547</v>
      </c>
    </row>
    <row r="5734" spans="1:4" x14ac:dyDescent="0.35">
      <c r="A5734" t="s">
        <v>8163</v>
      </c>
      <c r="B5734" s="8" t="s">
        <v>3857</v>
      </c>
      <c r="C5734" t="s">
        <v>7554</v>
      </c>
      <c r="D5734" s="8" t="s">
        <v>7555</v>
      </c>
    </row>
    <row r="5735" spans="1:4" x14ac:dyDescent="0.35">
      <c r="A5735" t="s">
        <v>8164</v>
      </c>
      <c r="B5735" s="8" t="s">
        <v>3869</v>
      </c>
      <c r="C5735" t="s">
        <v>6841</v>
      </c>
      <c r="D5735" s="8" t="s">
        <v>6842</v>
      </c>
    </row>
    <row r="5736" spans="1:4" x14ac:dyDescent="0.35">
      <c r="A5736" t="s">
        <v>8164</v>
      </c>
      <c r="B5736" s="8" t="s">
        <v>3869</v>
      </c>
      <c r="C5736" t="s">
        <v>6194</v>
      </c>
      <c r="D5736" s="8" t="s">
        <v>6195</v>
      </c>
    </row>
    <row r="5737" spans="1:4" x14ac:dyDescent="0.35">
      <c r="A5737" t="s">
        <v>8164</v>
      </c>
      <c r="B5737" s="8" t="s">
        <v>3869</v>
      </c>
      <c r="C5737" t="s">
        <v>7546</v>
      </c>
      <c r="D5737" s="8" t="s">
        <v>7547</v>
      </c>
    </row>
    <row r="5738" spans="1:4" x14ac:dyDescent="0.35">
      <c r="A5738" t="s">
        <v>8165</v>
      </c>
      <c r="B5738" s="8" t="s">
        <v>3893</v>
      </c>
      <c r="C5738" t="s">
        <v>6841</v>
      </c>
      <c r="D5738" s="8" t="s">
        <v>6842</v>
      </c>
    </row>
    <row r="5739" spans="1:4" x14ac:dyDescent="0.35">
      <c r="A5739" t="s">
        <v>8165</v>
      </c>
      <c r="B5739" s="8" t="s">
        <v>3893</v>
      </c>
      <c r="C5739" t="s">
        <v>6194</v>
      </c>
      <c r="D5739" s="8" t="s">
        <v>6195</v>
      </c>
    </row>
    <row r="5740" spans="1:4" x14ac:dyDescent="0.35">
      <c r="A5740" t="s">
        <v>8165</v>
      </c>
      <c r="B5740" s="8" t="s">
        <v>3893</v>
      </c>
      <c r="C5740" t="s">
        <v>7546</v>
      </c>
      <c r="D5740" s="8" t="s">
        <v>7547</v>
      </c>
    </row>
    <row r="5741" spans="1:4" x14ac:dyDescent="0.35">
      <c r="A5741" t="s">
        <v>8166</v>
      </c>
      <c r="B5741" s="8" t="s">
        <v>3962</v>
      </c>
      <c r="C5741" t="s">
        <v>6841</v>
      </c>
      <c r="D5741" s="8" t="s">
        <v>6842</v>
      </c>
    </row>
    <row r="5742" spans="1:4" x14ac:dyDescent="0.35">
      <c r="A5742" t="s">
        <v>8166</v>
      </c>
      <c r="B5742" s="8" t="s">
        <v>3962</v>
      </c>
      <c r="C5742" t="s">
        <v>6194</v>
      </c>
      <c r="D5742" s="8" t="s">
        <v>6195</v>
      </c>
    </row>
    <row r="5743" spans="1:4" x14ac:dyDescent="0.35">
      <c r="A5743" t="s">
        <v>8166</v>
      </c>
      <c r="B5743" s="8" t="s">
        <v>3962</v>
      </c>
      <c r="C5743" t="s">
        <v>7546</v>
      </c>
      <c r="D5743" s="8" t="s">
        <v>7547</v>
      </c>
    </row>
    <row r="5744" spans="1:4" x14ac:dyDescent="0.35">
      <c r="A5744" t="s">
        <v>8167</v>
      </c>
      <c r="B5744" s="8" t="s">
        <v>3995</v>
      </c>
      <c r="C5744" t="s">
        <v>6841</v>
      </c>
      <c r="D5744" s="8" t="s">
        <v>6842</v>
      </c>
    </row>
    <row r="5745" spans="1:4" x14ac:dyDescent="0.35">
      <c r="A5745" t="s">
        <v>8167</v>
      </c>
      <c r="B5745" s="8" t="s">
        <v>3995</v>
      </c>
      <c r="C5745" t="s">
        <v>6194</v>
      </c>
      <c r="D5745" s="8" t="s">
        <v>6195</v>
      </c>
    </row>
    <row r="5746" spans="1:4" x14ac:dyDescent="0.35">
      <c r="A5746" t="s">
        <v>8167</v>
      </c>
      <c r="B5746" s="8" t="s">
        <v>3995</v>
      </c>
      <c r="C5746" t="s">
        <v>7532</v>
      </c>
      <c r="D5746" s="8" t="s">
        <v>7533</v>
      </c>
    </row>
    <row r="5747" spans="1:4" x14ac:dyDescent="0.35">
      <c r="A5747" t="s">
        <v>8167</v>
      </c>
      <c r="B5747" s="8" t="s">
        <v>3995</v>
      </c>
      <c r="C5747" t="s">
        <v>7546</v>
      </c>
      <c r="D5747" s="8" t="s">
        <v>7547</v>
      </c>
    </row>
    <row r="5748" spans="1:4" x14ac:dyDescent="0.35">
      <c r="A5748" t="s">
        <v>8168</v>
      </c>
      <c r="B5748" s="8" t="s">
        <v>3998</v>
      </c>
      <c r="C5748" t="s">
        <v>6841</v>
      </c>
      <c r="D5748" s="8" t="s">
        <v>6842</v>
      </c>
    </row>
    <row r="5749" spans="1:4" x14ac:dyDescent="0.35">
      <c r="A5749" t="s">
        <v>8168</v>
      </c>
      <c r="B5749" s="8" t="s">
        <v>3998</v>
      </c>
      <c r="C5749" t="s">
        <v>6194</v>
      </c>
      <c r="D5749" s="8" t="s">
        <v>6195</v>
      </c>
    </row>
    <row r="5750" spans="1:4" x14ac:dyDescent="0.35">
      <c r="A5750" t="s">
        <v>8168</v>
      </c>
      <c r="B5750" s="8" t="s">
        <v>3998</v>
      </c>
      <c r="C5750" t="s">
        <v>7536</v>
      </c>
      <c r="D5750" s="8" t="s">
        <v>7537</v>
      </c>
    </row>
    <row r="5751" spans="1:4" x14ac:dyDescent="0.35">
      <c r="A5751" t="s">
        <v>8168</v>
      </c>
      <c r="B5751" s="8" t="s">
        <v>3998</v>
      </c>
      <c r="C5751" t="s">
        <v>7546</v>
      </c>
      <c r="D5751" s="8" t="s">
        <v>7547</v>
      </c>
    </row>
    <row r="5752" spans="1:4" x14ac:dyDescent="0.35">
      <c r="A5752" t="s">
        <v>8169</v>
      </c>
      <c r="B5752" s="8" t="s">
        <v>4004</v>
      </c>
      <c r="C5752" t="s">
        <v>6841</v>
      </c>
      <c r="D5752" s="8" t="s">
        <v>6842</v>
      </c>
    </row>
    <row r="5753" spans="1:4" x14ac:dyDescent="0.35">
      <c r="A5753" t="s">
        <v>8169</v>
      </c>
      <c r="B5753" s="8" t="s">
        <v>4004</v>
      </c>
      <c r="C5753" t="s">
        <v>6194</v>
      </c>
      <c r="D5753" s="8" t="s">
        <v>6195</v>
      </c>
    </row>
    <row r="5754" spans="1:4" x14ac:dyDescent="0.35">
      <c r="A5754" t="s">
        <v>8169</v>
      </c>
      <c r="B5754" s="8" t="s">
        <v>4004</v>
      </c>
      <c r="C5754" t="s">
        <v>7536</v>
      </c>
      <c r="D5754" s="8" t="s">
        <v>7537</v>
      </c>
    </row>
    <row r="5755" spans="1:4" x14ac:dyDescent="0.35">
      <c r="A5755" t="s">
        <v>8169</v>
      </c>
      <c r="B5755" s="8" t="s">
        <v>4004</v>
      </c>
      <c r="C5755" t="s">
        <v>7546</v>
      </c>
      <c r="D5755" s="8" t="s">
        <v>7547</v>
      </c>
    </row>
    <row r="5756" spans="1:4" x14ac:dyDescent="0.35">
      <c r="A5756" t="s">
        <v>8170</v>
      </c>
      <c r="B5756" s="8" t="s">
        <v>4007</v>
      </c>
      <c r="C5756" t="s">
        <v>6841</v>
      </c>
      <c r="D5756" s="8" t="s">
        <v>6842</v>
      </c>
    </row>
    <row r="5757" spans="1:4" x14ac:dyDescent="0.35">
      <c r="A5757" t="s">
        <v>8170</v>
      </c>
      <c r="B5757" s="8" t="s">
        <v>4007</v>
      </c>
      <c r="C5757" t="s">
        <v>6194</v>
      </c>
      <c r="D5757" s="8" t="s">
        <v>6195</v>
      </c>
    </row>
    <row r="5758" spans="1:4" x14ac:dyDescent="0.35">
      <c r="A5758" t="s">
        <v>8170</v>
      </c>
      <c r="B5758" s="8" t="s">
        <v>4007</v>
      </c>
      <c r="C5758" t="s">
        <v>7546</v>
      </c>
      <c r="D5758" s="8" t="s">
        <v>7547</v>
      </c>
    </row>
    <row r="5759" spans="1:4" x14ac:dyDescent="0.35">
      <c r="A5759" t="s">
        <v>8171</v>
      </c>
      <c r="B5759" s="8" t="s">
        <v>4010</v>
      </c>
      <c r="C5759" t="s">
        <v>6841</v>
      </c>
      <c r="D5759" s="8" t="s">
        <v>6842</v>
      </c>
    </row>
    <row r="5760" spans="1:4" x14ac:dyDescent="0.35">
      <c r="A5760" t="s">
        <v>8171</v>
      </c>
      <c r="B5760" s="8" t="s">
        <v>4010</v>
      </c>
      <c r="C5760" t="s">
        <v>6194</v>
      </c>
      <c r="D5760" s="8" t="s">
        <v>6195</v>
      </c>
    </row>
    <row r="5761" spans="1:4" x14ac:dyDescent="0.35">
      <c r="A5761" t="s">
        <v>8171</v>
      </c>
      <c r="B5761" s="8" t="s">
        <v>4010</v>
      </c>
      <c r="C5761" t="s">
        <v>7546</v>
      </c>
      <c r="D5761" s="8" t="s">
        <v>7547</v>
      </c>
    </row>
    <row r="5762" spans="1:4" x14ac:dyDescent="0.35">
      <c r="A5762" t="s">
        <v>8172</v>
      </c>
      <c r="B5762" s="8" t="s">
        <v>4013</v>
      </c>
      <c r="C5762" t="s">
        <v>6841</v>
      </c>
      <c r="D5762" s="8" t="s">
        <v>6842</v>
      </c>
    </row>
    <row r="5763" spans="1:4" x14ac:dyDescent="0.35">
      <c r="A5763" t="s">
        <v>8172</v>
      </c>
      <c r="B5763" s="8" t="s">
        <v>4013</v>
      </c>
      <c r="C5763" t="s">
        <v>6194</v>
      </c>
      <c r="D5763" s="8" t="s">
        <v>6195</v>
      </c>
    </row>
    <row r="5764" spans="1:4" x14ac:dyDescent="0.35">
      <c r="A5764" t="s">
        <v>8172</v>
      </c>
      <c r="B5764" s="8" t="s">
        <v>4013</v>
      </c>
      <c r="C5764" t="s">
        <v>7546</v>
      </c>
      <c r="D5764" s="8" t="s">
        <v>7547</v>
      </c>
    </row>
    <row r="5765" spans="1:4" x14ac:dyDescent="0.35">
      <c r="A5765" t="s">
        <v>8173</v>
      </c>
      <c r="B5765" s="8" t="s">
        <v>4016</v>
      </c>
      <c r="C5765" t="s">
        <v>6841</v>
      </c>
      <c r="D5765" s="8" t="s">
        <v>6842</v>
      </c>
    </row>
    <row r="5766" spans="1:4" x14ac:dyDescent="0.35">
      <c r="A5766" t="s">
        <v>8173</v>
      </c>
      <c r="B5766" s="8" t="s">
        <v>4016</v>
      </c>
      <c r="C5766" t="s">
        <v>6194</v>
      </c>
      <c r="D5766" s="8" t="s">
        <v>6195</v>
      </c>
    </row>
    <row r="5767" spans="1:4" x14ac:dyDescent="0.35">
      <c r="A5767" t="s">
        <v>8173</v>
      </c>
      <c r="B5767" s="8" t="s">
        <v>4016</v>
      </c>
      <c r="C5767" t="s">
        <v>7546</v>
      </c>
      <c r="D5767" s="8" t="s">
        <v>7547</v>
      </c>
    </row>
    <row r="5768" spans="1:4" x14ac:dyDescent="0.35">
      <c r="A5768" t="s">
        <v>8174</v>
      </c>
      <c r="B5768" s="8" t="s">
        <v>4019</v>
      </c>
      <c r="C5768" t="s">
        <v>6841</v>
      </c>
      <c r="D5768" s="8" t="s">
        <v>6842</v>
      </c>
    </row>
    <row r="5769" spans="1:4" x14ac:dyDescent="0.35">
      <c r="A5769" t="s">
        <v>8174</v>
      </c>
      <c r="B5769" s="8" t="s">
        <v>4019</v>
      </c>
      <c r="C5769" t="s">
        <v>6194</v>
      </c>
      <c r="D5769" s="8" t="s">
        <v>6195</v>
      </c>
    </row>
    <row r="5770" spans="1:4" x14ac:dyDescent="0.35">
      <c r="A5770" t="s">
        <v>8174</v>
      </c>
      <c r="B5770" s="8" t="s">
        <v>4019</v>
      </c>
      <c r="C5770" t="s">
        <v>7546</v>
      </c>
      <c r="D5770" s="8" t="s">
        <v>7547</v>
      </c>
    </row>
    <row r="5771" spans="1:4" x14ac:dyDescent="0.35">
      <c r="A5771" t="s">
        <v>8175</v>
      </c>
      <c r="B5771" s="8" t="s">
        <v>4031</v>
      </c>
      <c r="C5771" t="s">
        <v>6841</v>
      </c>
      <c r="D5771" s="8" t="s">
        <v>6842</v>
      </c>
    </row>
    <row r="5772" spans="1:4" x14ac:dyDescent="0.35">
      <c r="A5772" t="s">
        <v>8175</v>
      </c>
      <c r="B5772" s="8" t="s">
        <v>4031</v>
      </c>
      <c r="C5772" t="s">
        <v>6194</v>
      </c>
      <c r="D5772" s="8" t="s">
        <v>6195</v>
      </c>
    </row>
    <row r="5773" spans="1:4" x14ac:dyDescent="0.35">
      <c r="A5773" t="s">
        <v>8175</v>
      </c>
      <c r="B5773" s="8" t="s">
        <v>4031</v>
      </c>
      <c r="C5773" t="s">
        <v>7546</v>
      </c>
      <c r="D5773" s="8" t="s">
        <v>7547</v>
      </c>
    </row>
    <row r="5774" spans="1:4" x14ac:dyDescent="0.35">
      <c r="A5774" t="s">
        <v>8176</v>
      </c>
      <c r="B5774" s="8" t="s">
        <v>4040</v>
      </c>
      <c r="C5774" t="s">
        <v>6841</v>
      </c>
      <c r="D5774" s="8" t="s">
        <v>6842</v>
      </c>
    </row>
    <row r="5775" spans="1:4" x14ac:dyDescent="0.35">
      <c r="A5775" t="s">
        <v>8176</v>
      </c>
      <c r="B5775" s="8" t="s">
        <v>4040</v>
      </c>
      <c r="C5775" t="s">
        <v>6194</v>
      </c>
      <c r="D5775" s="8" t="s">
        <v>6195</v>
      </c>
    </row>
    <row r="5776" spans="1:4" x14ac:dyDescent="0.35">
      <c r="A5776" t="s">
        <v>8176</v>
      </c>
      <c r="B5776" s="8" t="s">
        <v>4040</v>
      </c>
      <c r="C5776" t="s">
        <v>7546</v>
      </c>
      <c r="D5776" s="8" t="s">
        <v>7547</v>
      </c>
    </row>
    <row r="5777" spans="1:4" x14ac:dyDescent="0.35">
      <c r="A5777" t="s">
        <v>8177</v>
      </c>
      <c r="B5777" s="8" t="s">
        <v>4046</v>
      </c>
      <c r="C5777" t="s">
        <v>6841</v>
      </c>
      <c r="D5777" s="8" t="s">
        <v>6842</v>
      </c>
    </row>
    <row r="5778" spans="1:4" x14ac:dyDescent="0.35">
      <c r="A5778" t="s">
        <v>8177</v>
      </c>
      <c r="B5778" s="8" t="s">
        <v>4046</v>
      </c>
      <c r="C5778" t="s">
        <v>6194</v>
      </c>
      <c r="D5778" s="8" t="s">
        <v>6195</v>
      </c>
    </row>
    <row r="5779" spans="1:4" x14ac:dyDescent="0.35">
      <c r="A5779" t="s">
        <v>8177</v>
      </c>
      <c r="B5779" s="8" t="s">
        <v>4046</v>
      </c>
      <c r="C5779" t="s">
        <v>7546</v>
      </c>
      <c r="D5779" s="8" t="s">
        <v>7547</v>
      </c>
    </row>
    <row r="5780" spans="1:4" x14ac:dyDescent="0.35">
      <c r="A5780" t="s">
        <v>8178</v>
      </c>
      <c r="B5780" s="8" t="s">
        <v>8179</v>
      </c>
      <c r="C5780" t="s">
        <v>6841</v>
      </c>
      <c r="D5780" s="8" t="s">
        <v>6842</v>
      </c>
    </row>
    <row r="5781" spans="1:4" x14ac:dyDescent="0.35">
      <c r="A5781" t="s">
        <v>8178</v>
      </c>
      <c r="B5781" s="8" t="s">
        <v>8179</v>
      </c>
      <c r="C5781" t="s">
        <v>6194</v>
      </c>
      <c r="D5781" s="8" t="s">
        <v>6195</v>
      </c>
    </row>
    <row r="5782" spans="1:4" x14ac:dyDescent="0.35">
      <c r="A5782" t="s">
        <v>8178</v>
      </c>
      <c r="B5782" s="8" t="s">
        <v>8179</v>
      </c>
      <c r="C5782" t="s">
        <v>7546</v>
      </c>
      <c r="D5782" s="8" t="s">
        <v>7547</v>
      </c>
    </row>
    <row r="5783" spans="1:4" x14ac:dyDescent="0.35">
      <c r="A5783" t="s">
        <v>8180</v>
      </c>
      <c r="B5783" s="8" t="s">
        <v>3830</v>
      </c>
      <c r="C5783" t="s">
        <v>6194</v>
      </c>
      <c r="D5783" s="8" t="s">
        <v>6195</v>
      </c>
    </row>
    <row r="5784" spans="1:4" x14ac:dyDescent="0.35">
      <c r="A5784" t="s">
        <v>8180</v>
      </c>
      <c r="B5784" s="8" t="s">
        <v>3830</v>
      </c>
      <c r="C5784" t="s">
        <v>7554</v>
      </c>
      <c r="D5784" s="8" t="s">
        <v>7555</v>
      </c>
    </row>
    <row r="5785" spans="1:4" x14ac:dyDescent="0.35">
      <c r="A5785" t="s">
        <v>8181</v>
      </c>
      <c r="B5785" s="8" t="s">
        <v>4076</v>
      </c>
      <c r="C5785" t="s">
        <v>6841</v>
      </c>
      <c r="D5785" s="8" t="s">
        <v>6842</v>
      </c>
    </row>
    <row r="5786" spans="1:4" x14ac:dyDescent="0.35">
      <c r="A5786" t="s">
        <v>8181</v>
      </c>
      <c r="B5786" s="8" t="s">
        <v>4076</v>
      </c>
      <c r="C5786" t="s">
        <v>6194</v>
      </c>
      <c r="D5786" s="8" t="s">
        <v>6195</v>
      </c>
    </row>
    <row r="5787" spans="1:4" x14ac:dyDescent="0.35">
      <c r="A5787" t="s">
        <v>8181</v>
      </c>
      <c r="B5787" s="8" t="s">
        <v>4076</v>
      </c>
      <c r="C5787" t="s">
        <v>7554</v>
      </c>
      <c r="D5787" s="8" t="s">
        <v>7555</v>
      </c>
    </row>
    <row r="5788" spans="1:4" x14ac:dyDescent="0.35">
      <c r="A5788" t="s">
        <v>8182</v>
      </c>
      <c r="B5788" s="8" t="s">
        <v>4037</v>
      </c>
      <c r="C5788" t="s">
        <v>6841</v>
      </c>
      <c r="D5788" s="8" t="s">
        <v>6842</v>
      </c>
    </row>
    <row r="5789" spans="1:4" x14ac:dyDescent="0.35">
      <c r="A5789" t="s">
        <v>8182</v>
      </c>
      <c r="B5789" s="8" t="s">
        <v>4037</v>
      </c>
      <c r="C5789" t="s">
        <v>6194</v>
      </c>
      <c r="D5789" s="8" t="s">
        <v>6195</v>
      </c>
    </row>
    <row r="5790" spans="1:4" x14ac:dyDescent="0.35">
      <c r="A5790" t="s">
        <v>8182</v>
      </c>
      <c r="B5790" s="8" t="s">
        <v>4037</v>
      </c>
      <c r="C5790" t="s">
        <v>7546</v>
      </c>
      <c r="D5790" s="8" t="s">
        <v>7547</v>
      </c>
    </row>
    <row r="5791" spans="1:4" x14ac:dyDescent="0.35">
      <c r="A5791" t="s">
        <v>8183</v>
      </c>
      <c r="B5791" s="8" t="s">
        <v>8184</v>
      </c>
      <c r="C5791" t="s">
        <v>6841</v>
      </c>
      <c r="D5791" s="8" t="s">
        <v>6842</v>
      </c>
    </row>
    <row r="5792" spans="1:4" x14ac:dyDescent="0.35">
      <c r="A5792" t="s">
        <v>8183</v>
      </c>
      <c r="B5792" s="8" t="s">
        <v>8184</v>
      </c>
      <c r="C5792" t="s">
        <v>6194</v>
      </c>
      <c r="D5792" s="8" t="s">
        <v>6195</v>
      </c>
    </row>
    <row r="5793" spans="1:4" x14ac:dyDescent="0.35">
      <c r="A5793" t="s">
        <v>8183</v>
      </c>
      <c r="B5793" s="8" t="s">
        <v>8184</v>
      </c>
      <c r="C5793" t="s">
        <v>7554</v>
      </c>
      <c r="D5793" s="8" t="s">
        <v>7555</v>
      </c>
    </row>
    <row r="5794" spans="1:4" x14ac:dyDescent="0.35">
      <c r="A5794" t="s">
        <v>8185</v>
      </c>
      <c r="B5794" s="8" t="s">
        <v>3832</v>
      </c>
      <c r="C5794" t="s">
        <v>6194</v>
      </c>
      <c r="D5794" s="8" t="s">
        <v>6195</v>
      </c>
    </row>
    <row r="5795" spans="1:4" x14ac:dyDescent="0.35">
      <c r="A5795" t="s">
        <v>8185</v>
      </c>
      <c r="B5795" s="8" t="s">
        <v>3832</v>
      </c>
      <c r="C5795" t="s">
        <v>7560</v>
      </c>
      <c r="D5795" s="8" t="s">
        <v>7561</v>
      </c>
    </row>
    <row r="5796" spans="1:4" x14ac:dyDescent="0.35">
      <c r="A5796" t="s">
        <v>8185</v>
      </c>
      <c r="B5796" s="8" t="s">
        <v>3832</v>
      </c>
      <c r="C5796" t="s">
        <v>7562</v>
      </c>
      <c r="D5796" s="8" t="s">
        <v>7563</v>
      </c>
    </row>
    <row r="5797" spans="1:4" x14ac:dyDescent="0.35">
      <c r="A5797" t="s">
        <v>8186</v>
      </c>
      <c r="B5797" s="8" t="s">
        <v>8187</v>
      </c>
      <c r="C5797" t="s">
        <v>6194</v>
      </c>
      <c r="D5797" s="8" t="s">
        <v>6195</v>
      </c>
    </row>
    <row r="5798" spans="1:4" x14ac:dyDescent="0.35">
      <c r="A5798" t="s">
        <v>8186</v>
      </c>
      <c r="B5798" s="8" t="s">
        <v>8187</v>
      </c>
      <c r="C5798" t="s">
        <v>7560</v>
      </c>
      <c r="D5798" s="8" t="s">
        <v>7561</v>
      </c>
    </row>
    <row r="5799" spans="1:4" x14ac:dyDescent="0.35">
      <c r="A5799" t="s">
        <v>8186</v>
      </c>
      <c r="B5799" s="8" t="s">
        <v>8187</v>
      </c>
      <c r="C5799" t="s">
        <v>7562</v>
      </c>
      <c r="D5799" s="8" t="s">
        <v>7563</v>
      </c>
    </row>
    <row r="5800" spans="1:4" x14ac:dyDescent="0.35">
      <c r="A5800" t="s">
        <v>8188</v>
      </c>
      <c r="B5800" s="8" t="s">
        <v>4055</v>
      </c>
      <c r="C5800" t="s">
        <v>6841</v>
      </c>
      <c r="D5800" s="8" t="s">
        <v>6842</v>
      </c>
    </row>
    <row r="5801" spans="1:4" x14ac:dyDescent="0.35">
      <c r="A5801" t="s">
        <v>8188</v>
      </c>
      <c r="B5801" s="8" t="s">
        <v>4055</v>
      </c>
      <c r="C5801" t="s">
        <v>6194</v>
      </c>
      <c r="D5801" s="8" t="s">
        <v>6195</v>
      </c>
    </row>
    <row r="5802" spans="1:4" x14ac:dyDescent="0.35">
      <c r="A5802" t="s">
        <v>8188</v>
      </c>
      <c r="B5802" s="8" t="s">
        <v>4055</v>
      </c>
      <c r="C5802" t="s">
        <v>7560</v>
      </c>
      <c r="D5802" s="8" t="s">
        <v>7561</v>
      </c>
    </row>
    <row r="5803" spans="1:4" x14ac:dyDescent="0.35">
      <c r="A5803" t="s">
        <v>8188</v>
      </c>
      <c r="B5803" s="8" t="s">
        <v>4055</v>
      </c>
      <c r="C5803" t="s">
        <v>7562</v>
      </c>
      <c r="D5803" s="8" t="s">
        <v>7563</v>
      </c>
    </row>
    <row r="5804" spans="1:4" x14ac:dyDescent="0.35">
      <c r="A5804" t="s">
        <v>8189</v>
      </c>
      <c r="B5804" s="8" t="s">
        <v>8190</v>
      </c>
      <c r="C5804" t="s">
        <v>6841</v>
      </c>
      <c r="D5804" s="8" t="s">
        <v>6842</v>
      </c>
    </row>
    <row r="5805" spans="1:4" x14ac:dyDescent="0.35">
      <c r="A5805" t="s">
        <v>8189</v>
      </c>
      <c r="B5805" s="8" t="s">
        <v>8190</v>
      </c>
      <c r="C5805" t="s">
        <v>6194</v>
      </c>
      <c r="D5805" s="8" t="s">
        <v>6195</v>
      </c>
    </row>
    <row r="5806" spans="1:4" x14ac:dyDescent="0.35">
      <c r="A5806" t="s">
        <v>8189</v>
      </c>
      <c r="B5806" s="8" t="s">
        <v>8190</v>
      </c>
      <c r="C5806" t="s">
        <v>7560</v>
      </c>
      <c r="D5806" s="8" t="s">
        <v>7561</v>
      </c>
    </row>
    <row r="5807" spans="1:4" x14ac:dyDescent="0.35">
      <c r="A5807" t="s">
        <v>8189</v>
      </c>
      <c r="B5807" s="8" t="s">
        <v>8190</v>
      </c>
      <c r="C5807" t="s">
        <v>7562</v>
      </c>
      <c r="D5807" s="8" t="s">
        <v>7563</v>
      </c>
    </row>
    <row r="5808" spans="1:4" x14ac:dyDescent="0.35">
      <c r="A5808" t="s">
        <v>8191</v>
      </c>
      <c r="B5808" s="8" t="s">
        <v>8192</v>
      </c>
      <c r="C5808" t="s">
        <v>6194</v>
      </c>
      <c r="D5808" s="8" t="s">
        <v>6195</v>
      </c>
    </row>
    <row r="5809" spans="1:4" x14ac:dyDescent="0.35">
      <c r="A5809" t="s">
        <v>8191</v>
      </c>
      <c r="B5809" s="8" t="s">
        <v>8192</v>
      </c>
      <c r="C5809" t="s">
        <v>7566</v>
      </c>
      <c r="D5809" s="8" t="s">
        <v>7567</v>
      </c>
    </row>
    <row r="5810" spans="1:4" x14ac:dyDescent="0.35">
      <c r="A5810" t="s">
        <v>8193</v>
      </c>
      <c r="B5810" s="8" t="s">
        <v>8194</v>
      </c>
      <c r="C5810" t="s">
        <v>6841</v>
      </c>
      <c r="D5810" s="8" t="s">
        <v>6842</v>
      </c>
    </row>
    <row r="5811" spans="1:4" x14ac:dyDescent="0.35">
      <c r="A5811" t="s">
        <v>8193</v>
      </c>
      <c r="B5811" s="8" t="s">
        <v>8194</v>
      </c>
      <c r="C5811" t="s">
        <v>6194</v>
      </c>
      <c r="D5811" s="8" t="s">
        <v>6195</v>
      </c>
    </row>
    <row r="5812" spans="1:4" x14ac:dyDescent="0.35">
      <c r="A5812" t="s">
        <v>8193</v>
      </c>
      <c r="B5812" s="8" t="s">
        <v>8194</v>
      </c>
      <c r="C5812" t="s">
        <v>7566</v>
      </c>
      <c r="D5812" s="8" t="s">
        <v>7567</v>
      </c>
    </row>
    <row r="5813" spans="1:4" x14ac:dyDescent="0.35">
      <c r="A5813" t="s">
        <v>8195</v>
      </c>
      <c r="B5813" s="8" t="s">
        <v>3836</v>
      </c>
      <c r="C5813" t="s">
        <v>6194</v>
      </c>
      <c r="D5813" s="8" t="s">
        <v>6195</v>
      </c>
    </row>
    <row r="5814" spans="1:4" x14ac:dyDescent="0.35">
      <c r="A5814" t="s">
        <v>8195</v>
      </c>
      <c r="B5814" s="8" t="s">
        <v>3836</v>
      </c>
      <c r="C5814" t="s">
        <v>7554</v>
      </c>
      <c r="D5814" s="8" t="s">
        <v>7555</v>
      </c>
    </row>
    <row r="5815" spans="1:4" x14ac:dyDescent="0.35">
      <c r="A5815" t="s">
        <v>8196</v>
      </c>
      <c r="B5815" s="8" t="s">
        <v>3775</v>
      </c>
      <c r="C5815" t="s">
        <v>6194</v>
      </c>
      <c r="D5815" s="8" t="s">
        <v>6195</v>
      </c>
    </row>
    <row r="5816" spans="1:4" x14ac:dyDescent="0.35">
      <c r="A5816" t="s">
        <v>8196</v>
      </c>
      <c r="B5816" s="8" t="s">
        <v>3775</v>
      </c>
      <c r="C5816" t="s">
        <v>7554</v>
      </c>
      <c r="D5816" s="8" t="s">
        <v>7555</v>
      </c>
    </row>
    <row r="5817" spans="1:4" x14ac:dyDescent="0.35">
      <c r="A5817" t="s">
        <v>8197</v>
      </c>
      <c r="B5817" s="8" t="s">
        <v>3817</v>
      </c>
      <c r="C5817" t="s">
        <v>6194</v>
      </c>
      <c r="D5817" s="8" t="s">
        <v>6195</v>
      </c>
    </row>
    <row r="5818" spans="1:4" x14ac:dyDescent="0.35">
      <c r="A5818" t="s">
        <v>8197</v>
      </c>
      <c r="B5818" s="8" t="s">
        <v>3817</v>
      </c>
      <c r="C5818" t="s">
        <v>7554</v>
      </c>
      <c r="D5818" s="8" t="s">
        <v>7555</v>
      </c>
    </row>
    <row r="5819" spans="1:4" x14ac:dyDescent="0.35">
      <c r="A5819" t="s">
        <v>8198</v>
      </c>
      <c r="B5819" s="8" t="s">
        <v>8199</v>
      </c>
      <c r="C5819" t="s">
        <v>6841</v>
      </c>
      <c r="D5819" s="8" t="s">
        <v>6842</v>
      </c>
    </row>
    <row r="5820" spans="1:4" x14ac:dyDescent="0.35">
      <c r="A5820" t="s">
        <v>8198</v>
      </c>
      <c r="B5820" s="8" t="s">
        <v>8199</v>
      </c>
      <c r="C5820" t="s">
        <v>6194</v>
      </c>
      <c r="D5820" s="8" t="s">
        <v>6195</v>
      </c>
    </row>
    <row r="5821" spans="1:4" x14ac:dyDescent="0.35">
      <c r="A5821" t="s">
        <v>8198</v>
      </c>
      <c r="B5821" s="8" t="s">
        <v>8199</v>
      </c>
      <c r="C5821" t="s">
        <v>7554</v>
      </c>
      <c r="D5821" s="8" t="s">
        <v>7555</v>
      </c>
    </row>
    <row r="5822" spans="1:4" x14ac:dyDescent="0.35">
      <c r="A5822" t="s">
        <v>8200</v>
      </c>
      <c r="B5822" s="8" t="s">
        <v>3834</v>
      </c>
      <c r="C5822" t="s">
        <v>6194</v>
      </c>
      <c r="D5822" s="8" t="s">
        <v>6195</v>
      </c>
    </row>
    <row r="5823" spans="1:4" x14ac:dyDescent="0.35">
      <c r="A5823" t="s">
        <v>8200</v>
      </c>
      <c r="B5823" s="8" t="s">
        <v>3834</v>
      </c>
      <c r="C5823" t="s">
        <v>7550</v>
      </c>
      <c r="D5823" s="8" t="s">
        <v>7551</v>
      </c>
    </row>
    <row r="5824" spans="1:4" x14ac:dyDescent="0.35">
      <c r="A5824" t="s">
        <v>8201</v>
      </c>
      <c r="B5824" s="8" t="s">
        <v>3854</v>
      </c>
      <c r="C5824" t="s">
        <v>6841</v>
      </c>
      <c r="D5824" s="8" t="s">
        <v>6842</v>
      </c>
    </row>
    <row r="5825" spans="1:4" x14ac:dyDescent="0.35">
      <c r="A5825" t="s">
        <v>8201</v>
      </c>
      <c r="B5825" s="8" t="s">
        <v>3854</v>
      </c>
      <c r="C5825" t="s">
        <v>6194</v>
      </c>
      <c r="D5825" s="8" t="s">
        <v>6195</v>
      </c>
    </row>
    <row r="5826" spans="1:4" x14ac:dyDescent="0.35">
      <c r="A5826" t="s">
        <v>8201</v>
      </c>
      <c r="B5826" s="8" t="s">
        <v>3854</v>
      </c>
      <c r="C5826" t="s">
        <v>7550</v>
      </c>
      <c r="D5826" s="8" t="s">
        <v>7551</v>
      </c>
    </row>
    <row r="5827" spans="1:4" x14ac:dyDescent="0.35">
      <c r="A5827" t="s">
        <v>8202</v>
      </c>
      <c r="B5827" s="8" t="s">
        <v>3872</v>
      </c>
      <c r="C5827" t="s">
        <v>6841</v>
      </c>
      <c r="D5827" s="8" t="s">
        <v>6842</v>
      </c>
    </row>
    <row r="5828" spans="1:4" x14ac:dyDescent="0.35">
      <c r="A5828" t="s">
        <v>8202</v>
      </c>
      <c r="B5828" s="8" t="s">
        <v>3872</v>
      </c>
      <c r="C5828" t="s">
        <v>6194</v>
      </c>
      <c r="D5828" s="8" t="s">
        <v>6195</v>
      </c>
    </row>
    <row r="5829" spans="1:4" x14ac:dyDescent="0.35">
      <c r="A5829" t="s">
        <v>8202</v>
      </c>
      <c r="B5829" s="8" t="s">
        <v>3872</v>
      </c>
      <c r="C5829" t="s">
        <v>7550</v>
      </c>
      <c r="D5829" s="8" t="s">
        <v>7551</v>
      </c>
    </row>
    <row r="5830" spans="1:4" x14ac:dyDescent="0.35">
      <c r="A5830" t="s">
        <v>8203</v>
      </c>
      <c r="B5830" s="8" t="s">
        <v>4058</v>
      </c>
      <c r="C5830" t="s">
        <v>6841</v>
      </c>
      <c r="D5830" s="8" t="s">
        <v>6842</v>
      </c>
    </row>
    <row r="5831" spans="1:4" x14ac:dyDescent="0.35">
      <c r="A5831" t="s">
        <v>8203</v>
      </c>
      <c r="B5831" s="8" t="s">
        <v>4058</v>
      </c>
      <c r="C5831" t="s">
        <v>6194</v>
      </c>
      <c r="D5831" s="8" t="s">
        <v>6195</v>
      </c>
    </row>
    <row r="5832" spans="1:4" x14ac:dyDescent="0.35">
      <c r="A5832" t="s">
        <v>8203</v>
      </c>
      <c r="B5832" s="8" t="s">
        <v>4058</v>
      </c>
      <c r="C5832" t="s">
        <v>7550</v>
      </c>
      <c r="D5832" s="8" t="s">
        <v>7551</v>
      </c>
    </row>
    <row r="5833" spans="1:4" x14ac:dyDescent="0.35">
      <c r="A5833" t="s">
        <v>8204</v>
      </c>
      <c r="B5833" s="8" t="s">
        <v>3904</v>
      </c>
      <c r="C5833" t="s">
        <v>6841</v>
      </c>
      <c r="D5833" s="8" t="s">
        <v>6842</v>
      </c>
    </row>
    <row r="5834" spans="1:4" x14ac:dyDescent="0.35">
      <c r="A5834" t="s">
        <v>8204</v>
      </c>
      <c r="B5834" s="8" t="s">
        <v>3904</v>
      </c>
      <c r="C5834" t="s">
        <v>6194</v>
      </c>
      <c r="D5834" s="8" t="s">
        <v>6195</v>
      </c>
    </row>
    <row r="5835" spans="1:4" x14ac:dyDescent="0.35">
      <c r="A5835" t="s">
        <v>8204</v>
      </c>
      <c r="B5835" s="8" t="s">
        <v>3904</v>
      </c>
      <c r="C5835" t="s">
        <v>7550</v>
      </c>
      <c r="D5835" s="8" t="s">
        <v>7551</v>
      </c>
    </row>
    <row r="5836" spans="1:4" x14ac:dyDescent="0.35">
      <c r="A5836" t="s">
        <v>8205</v>
      </c>
      <c r="B5836" s="8" t="s">
        <v>3913</v>
      </c>
      <c r="C5836" t="s">
        <v>6841</v>
      </c>
      <c r="D5836" s="8" t="s">
        <v>6842</v>
      </c>
    </row>
    <row r="5837" spans="1:4" x14ac:dyDescent="0.35">
      <c r="A5837" t="s">
        <v>8205</v>
      </c>
      <c r="B5837" s="8" t="s">
        <v>3913</v>
      </c>
      <c r="C5837" t="s">
        <v>6194</v>
      </c>
      <c r="D5837" s="8" t="s">
        <v>6195</v>
      </c>
    </row>
    <row r="5838" spans="1:4" x14ac:dyDescent="0.35">
      <c r="A5838" t="s">
        <v>8205</v>
      </c>
      <c r="B5838" s="8" t="s">
        <v>3913</v>
      </c>
      <c r="C5838" t="s">
        <v>7550</v>
      </c>
      <c r="D5838" s="8" t="s">
        <v>7551</v>
      </c>
    </row>
    <row r="5839" spans="1:4" x14ac:dyDescent="0.35">
      <c r="A5839" t="s">
        <v>8206</v>
      </c>
      <c r="B5839" s="8" t="s">
        <v>8207</v>
      </c>
      <c r="C5839" t="s">
        <v>6841</v>
      </c>
      <c r="D5839" s="8" t="s">
        <v>6842</v>
      </c>
    </row>
    <row r="5840" spans="1:4" x14ac:dyDescent="0.35">
      <c r="A5840" t="s">
        <v>8206</v>
      </c>
      <c r="B5840" s="8" t="s">
        <v>8207</v>
      </c>
      <c r="C5840" t="s">
        <v>6194</v>
      </c>
      <c r="D5840" s="8" t="s">
        <v>6195</v>
      </c>
    </row>
    <row r="5841" spans="1:4" x14ac:dyDescent="0.35">
      <c r="A5841" t="s">
        <v>8206</v>
      </c>
      <c r="B5841" s="8" t="s">
        <v>8207</v>
      </c>
      <c r="C5841" t="s">
        <v>7550</v>
      </c>
      <c r="D5841" s="8" t="s">
        <v>7551</v>
      </c>
    </row>
    <row r="5842" spans="1:4" x14ac:dyDescent="0.35">
      <c r="A5842" t="s">
        <v>8208</v>
      </c>
      <c r="B5842" s="8" t="s">
        <v>3838</v>
      </c>
      <c r="C5842" t="s">
        <v>6194</v>
      </c>
      <c r="D5842" s="8" t="s">
        <v>6195</v>
      </c>
    </row>
    <row r="5843" spans="1:4" x14ac:dyDescent="0.35">
      <c r="A5843" t="s">
        <v>8208</v>
      </c>
      <c r="B5843" s="8" t="s">
        <v>3838</v>
      </c>
      <c r="C5843" t="s">
        <v>7552</v>
      </c>
      <c r="D5843" s="8" t="s">
        <v>7553</v>
      </c>
    </row>
    <row r="5844" spans="1:4" x14ac:dyDescent="0.35">
      <c r="A5844" t="s">
        <v>8208</v>
      </c>
      <c r="B5844" s="8" t="s">
        <v>3838</v>
      </c>
      <c r="C5844" t="s">
        <v>7554</v>
      </c>
      <c r="D5844" s="8" t="s">
        <v>7555</v>
      </c>
    </row>
    <row r="5845" spans="1:4" x14ac:dyDescent="0.35">
      <c r="A5845" t="s">
        <v>8209</v>
      </c>
      <c r="B5845" s="8" t="s">
        <v>8210</v>
      </c>
      <c r="C5845" t="s">
        <v>6841</v>
      </c>
      <c r="D5845" s="8" t="s">
        <v>6842</v>
      </c>
    </row>
    <row r="5846" spans="1:4" x14ac:dyDescent="0.35">
      <c r="A5846" t="s">
        <v>8209</v>
      </c>
      <c r="B5846" s="8" t="s">
        <v>8210</v>
      </c>
      <c r="C5846" t="s">
        <v>6194</v>
      </c>
      <c r="D5846" s="8" t="s">
        <v>6195</v>
      </c>
    </row>
    <row r="5847" spans="1:4" x14ac:dyDescent="0.35">
      <c r="A5847" t="s">
        <v>8209</v>
      </c>
      <c r="B5847" s="8" t="s">
        <v>8210</v>
      </c>
      <c r="C5847" t="s">
        <v>7552</v>
      </c>
      <c r="D5847" s="8" t="s">
        <v>7553</v>
      </c>
    </row>
    <row r="5848" spans="1:4" x14ac:dyDescent="0.35">
      <c r="A5848" t="s">
        <v>8209</v>
      </c>
      <c r="B5848" s="8" t="s">
        <v>8210</v>
      </c>
      <c r="C5848" t="s">
        <v>7554</v>
      </c>
      <c r="D5848" s="8" t="s">
        <v>7555</v>
      </c>
    </row>
    <row r="5849" spans="1:4" x14ac:dyDescent="0.35">
      <c r="A5849" t="s">
        <v>8211</v>
      </c>
      <c r="B5849" s="8" t="s">
        <v>3799</v>
      </c>
      <c r="C5849" t="s">
        <v>6194</v>
      </c>
      <c r="D5849" s="8" t="s">
        <v>6195</v>
      </c>
    </row>
    <row r="5850" spans="1:4" x14ac:dyDescent="0.35">
      <c r="A5850" t="s">
        <v>8211</v>
      </c>
      <c r="B5850" s="8" t="s">
        <v>3799</v>
      </c>
      <c r="C5850" t="s">
        <v>7552</v>
      </c>
      <c r="D5850" s="8" t="s">
        <v>7553</v>
      </c>
    </row>
    <row r="5851" spans="1:4" x14ac:dyDescent="0.35">
      <c r="A5851" t="s">
        <v>8212</v>
      </c>
      <c r="B5851" s="8" t="s">
        <v>8213</v>
      </c>
      <c r="C5851" t="s">
        <v>6194</v>
      </c>
      <c r="D5851" s="8" t="s">
        <v>6195</v>
      </c>
    </row>
    <row r="5852" spans="1:4" x14ac:dyDescent="0.35">
      <c r="A5852" t="s">
        <v>8212</v>
      </c>
      <c r="B5852" s="8" t="s">
        <v>8213</v>
      </c>
      <c r="C5852" t="s">
        <v>7552</v>
      </c>
      <c r="D5852" s="8" t="s">
        <v>7553</v>
      </c>
    </row>
    <row r="5853" spans="1:4" x14ac:dyDescent="0.35">
      <c r="A5853" t="s">
        <v>8214</v>
      </c>
      <c r="B5853" s="8" t="s">
        <v>8215</v>
      </c>
      <c r="C5853" t="s">
        <v>6841</v>
      </c>
      <c r="D5853" s="8" t="s">
        <v>6842</v>
      </c>
    </row>
    <row r="5854" spans="1:4" x14ac:dyDescent="0.35">
      <c r="A5854" t="s">
        <v>8214</v>
      </c>
      <c r="B5854" s="8" t="s">
        <v>8215</v>
      </c>
      <c r="C5854" t="s">
        <v>6194</v>
      </c>
      <c r="D5854" s="8" t="s">
        <v>6195</v>
      </c>
    </row>
    <row r="5855" spans="1:4" x14ac:dyDescent="0.35">
      <c r="A5855" t="s">
        <v>8214</v>
      </c>
      <c r="B5855" s="8" t="s">
        <v>8215</v>
      </c>
      <c r="C5855" t="s">
        <v>7552</v>
      </c>
      <c r="D5855" s="8" t="s">
        <v>7553</v>
      </c>
    </row>
    <row r="5856" spans="1:4" x14ac:dyDescent="0.35">
      <c r="A5856" t="s">
        <v>8216</v>
      </c>
      <c r="B5856" s="8" t="s">
        <v>3895</v>
      </c>
      <c r="C5856" t="s">
        <v>6194</v>
      </c>
      <c r="D5856" s="8" t="s">
        <v>6195</v>
      </c>
    </row>
    <row r="5857" spans="1:4" x14ac:dyDescent="0.35">
      <c r="A5857" t="s">
        <v>8216</v>
      </c>
      <c r="B5857" s="8" t="s">
        <v>3895</v>
      </c>
      <c r="C5857" t="s">
        <v>7552</v>
      </c>
      <c r="D5857" s="8" t="s">
        <v>7553</v>
      </c>
    </row>
    <row r="5858" spans="1:4" x14ac:dyDescent="0.35">
      <c r="A5858" t="s">
        <v>8217</v>
      </c>
      <c r="B5858" s="8" t="s">
        <v>3947</v>
      </c>
      <c r="C5858" t="s">
        <v>6194</v>
      </c>
      <c r="D5858" s="8" t="s">
        <v>6195</v>
      </c>
    </row>
    <row r="5859" spans="1:4" x14ac:dyDescent="0.35">
      <c r="A5859" t="s">
        <v>8217</v>
      </c>
      <c r="B5859" s="8" t="s">
        <v>3947</v>
      </c>
      <c r="C5859" t="s">
        <v>7552</v>
      </c>
      <c r="D5859" s="8" t="s">
        <v>7553</v>
      </c>
    </row>
    <row r="5860" spans="1:4" x14ac:dyDescent="0.35">
      <c r="A5860" t="s">
        <v>8218</v>
      </c>
      <c r="B5860" s="8" t="s">
        <v>8219</v>
      </c>
      <c r="C5860" t="s">
        <v>6841</v>
      </c>
      <c r="D5860" s="8" t="s">
        <v>6842</v>
      </c>
    </row>
    <row r="5861" spans="1:4" x14ac:dyDescent="0.35">
      <c r="A5861" t="s">
        <v>8218</v>
      </c>
      <c r="B5861" s="8" t="s">
        <v>8219</v>
      </c>
      <c r="C5861" t="s">
        <v>6194</v>
      </c>
      <c r="D5861" s="8" t="s">
        <v>6195</v>
      </c>
    </row>
    <row r="5862" spans="1:4" x14ac:dyDescent="0.35">
      <c r="A5862" t="s">
        <v>8218</v>
      </c>
      <c r="B5862" s="8" t="s">
        <v>8219</v>
      </c>
      <c r="C5862" t="s">
        <v>7552</v>
      </c>
      <c r="D5862" s="8" t="s">
        <v>7553</v>
      </c>
    </row>
    <row r="5863" spans="1:4" x14ac:dyDescent="0.35">
      <c r="A5863" t="s">
        <v>8220</v>
      </c>
      <c r="B5863" s="8" t="s">
        <v>3977</v>
      </c>
      <c r="C5863" t="s">
        <v>6841</v>
      </c>
      <c r="D5863" s="8" t="s">
        <v>6842</v>
      </c>
    </row>
    <row r="5864" spans="1:4" x14ac:dyDescent="0.35">
      <c r="A5864" t="s">
        <v>8220</v>
      </c>
      <c r="B5864" s="8" t="s">
        <v>3977</v>
      </c>
      <c r="C5864" t="s">
        <v>6194</v>
      </c>
      <c r="D5864" s="8" t="s">
        <v>6195</v>
      </c>
    </row>
    <row r="5865" spans="1:4" x14ac:dyDescent="0.35">
      <c r="A5865" t="s">
        <v>8220</v>
      </c>
      <c r="B5865" s="8" t="s">
        <v>3977</v>
      </c>
      <c r="C5865" t="s">
        <v>7552</v>
      </c>
      <c r="D5865" s="8" t="s">
        <v>7553</v>
      </c>
    </row>
    <row r="5866" spans="1:4" x14ac:dyDescent="0.35">
      <c r="A5866" t="s">
        <v>8221</v>
      </c>
      <c r="B5866" s="8" t="s">
        <v>3983</v>
      </c>
      <c r="C5866" t="s">
        <v>6841</v>
      </c>
      <c r="D5866" s="8" t="s">
        <v>6842</v>
      </c>
    </row>
    <row r="5867" spans="1:4" x14ac:dyDescent="0.35">
      <c r="A5867" t="s">
        <v>8221</v>
      </c>
      <c r="B5867" s="8" t="s">
        <v>3983</v>
      </c>
      <c r="C5867" t="s">
        <v>6194</v>
      </c>
      <c r="D5867" s="8" t="s">
        <v>6195</v>
      </c>
    </row>
    <row r="5868" spans="1:4" x14ac:dyDescent="0.35">
      <c r="A5868" t="s">
        <v>8221</v>
      </c>
      <c r="B5868" s="8" t="s">
        <v>3983</v>
      </c>
      <c r="C5868" t="s">
        <v>7552</v>
      </c>
      <c r="D5868" s="8" t="s">
        <v>7553</v>
      </c>
    </row>
    <row r="5869" spans="1:4" x14ac:dyDescent="0.35">
      <c r="A5869" t="s">
        <v>8222</v>
      </c>
      <c r="B5869" s="8" t="s">
        <v>4034</v>
      </c>
      <c r="C5869" t="s">
        <v>6841</v>
      </c>
      <c r="D5869" s="8" t="s">
        <v>6842</v>
      </c>
    </row>
    <row r="5870" spans="1:4" x14ac:dyDescent="0.35">
      <c r="A5870" t="s">
        <v>8222</v>
      </c>
      <c r="B5870" s="8" t="s">
        <v>4034</v>
      </c>
      <c r="C5870" t="s">
        <v>6194</v>
      </c>
      <c r="D5870" s="8" t="s">
        <v>6195</v>
      </c>
    </row>
    <row r="5871" spans="1:4" x14ac:dyDescent="0.35">
      <c r="A5871" t="s">
        <v>8222</v>
      </c>
      <c r="B5871" s="8" t="s">
        <v>4034</v>
      </c>
      <c r="C5871" t="s">
        <v>7546</v>
      </c>
      <c r="D5871" s="8" t="s">
        <v>7547</v>
      </c>
    </row>
    <row r="5872" spans="1:4" x14ac:dyDescent="0.35">
      <c r="A5872" t="s">
        <v>8222</v>
      </c>
      <c r="B5872" s="8" t="s">
        <v>4034</v>
      </c>
      <c r="C5872" t="s">
        <v>7552</v>
      </c>
      <c r="D5872" s="8" t="s">
        <v>7553</v>
      </c>
    </row>
    <row r="5873" spans="1:4" x14ac:dyDescent="0.35">
      <c r="A5873" t="s">
        <v>8223</v>
      </c>
      <c r="B5873" s="8" t="s">
        <v>3840</v>
      </c>
      <c r="C5873" t="s">
        <v>6194</v>
      </c>
      <c r="D5873" s="8" t="s">
        <v>6195</v>
      </c>
    </row>
    <row r="5874" spans="1:4" x14ac:dyDescent="0.35">
      <c r="A5874" t="s">
        <v>8223</v>
      </c>
      <c r="B5874" s="8" t="s">
        <v>3840</v>
      </c>
      <c r="C5874" t="s">
        <v>7552</v>
      </c>
      <c r="D5874" s="8" t="s">
        <v>7553</v>
      </c>
    </row>
    <row r="5875" spans="1:4" x14ac:dyDescent="0.35">
      <c r="A5875" t="s">
        <v>8224</v>
      </c>
      <c r="B5875" s="8" t="s">
        <v>4087</v>
      </c>
      <c r="C5875" t="s">
        <v>6194</v>
      </c>
      <c r="D5875" s="8" t="s">
        <v>6195</v>
      </c>
    </row>
    <row r="5876" spans="1:4" x14ac:dyDescent="0.35">
      <c r="A5876" t="s">
        <v>8224</v>
      </c>
      <c r="B5876" s="8" t="s">
        <v>4087</v>
      </c>
      <c r="C5876" t="s">
        <v>7552</v>
      </c>
      <c r="D5876" s="8" t="s">
        <v>7553</v>
      </c>
    </row>
    <row r="5877" spans="1:4" x14ac:dyDescent="0.35">
      <c r="A5877" t="s">
        <v>8225</v>
      </c>
      <c r="B5877" s="8" t="s">
        <v>4096</v>
      </c>
      <c r="C5877" t="s">
        <v>6841</v>
      </c>
      <c r="D5877" s="8" t="s">
        <v>6842</v>
      </c>
    </row>
    <row r="5878" spans="1:4" x14ac:dyDescent="0.35">
      <c r="A5878" t="s">
        <v>8225</v>
      </c>
      <c r="B5878" s="8" t="s">
        <v>4096</v>
      </c>
      <c r="C5878" t="s">
        <v>6194</v>
      </c>
      <c r="D5878" s="8" t="s">
        <v>6195</v>
      </c>
    </row>
    <row r="5879" spans="1:4" x14ac:dyDescent="0.35">
      <c r="A5879" t="s">
        <v>8225</v>
      </c>
      <c r="B5879" s="8" t="s">
        <v>4096</v>
      </c>
      <c r="C5879" t="s">
        <v>7552</v>
      </c>
      <c r="D5879" s="8" t="s">
        <v>7553</v>
      </c>
    </row>
    <row r="5880" spans="1:4" x14ac:dyDescent="0.35">
      <c r="A5880" t="s">
        <v>8226</v>
      </c>
      <c r="B5880" s="8" t="s">
        <v>8227</v>
      </c>
      <c r="C5880" t="s">
        <v>6841</v>
      </c>
      <c r="D5880" s="8" t="s">
        <v>6842</v>
      </c>
    </row>
    <row r="5881" spans="1:4" x14ac:dyDescent="0.35">
      <c r="A5881" t="s">
        <v>8226</v>
      </c>
      <c r="B5881" s="8" t="s">
        <v>8227</v>
      </c>
      <c r="C5881" t="s">
        <v>6194</v>
      </c>
      <c r="D5881" s="8" t="s">
        <v>6195</v>
      </c>
    </row>
    <row r="5882" spans="1:4" x14ac:dyDescent="0.35">
      <c r="A5882" t="s">
        <v>8226</v>
      </c>
      <c r="B5882" s="8" t="s">
        <v>8227</v>
      </c>
      <c r="C5882" t="s">
        <v>7552</v>
      </c>
      <c r="D5882" s="8" t="s">
        <v>7553</v>
      </c>
    </row>
    <row r="5883" spans="1:4" x14ac:dyDescent="0.35">
      <c r="A5883" t="s">
        <v>8228</v>
      </c>
      <c r="B5883" s="8" t="s">
        <v>3805</v>
      </c>
      <c r="C5883" t="s">
        <v>6194</v>
      </c>
      <c r="D5883" s="8" t="s">
        <v>6195</v>
      </c>
    </row>
    <row r="5884" spans="1:4" x14ac:dyDescent="0.35">
      <c r="A5884" t="s">
        <v>8228</v>
      </c>
      <c r="B5884" s="8" t="s">
        <v>3805</v>
      </c>
      <c r="C5884" t="s">
        <v>7562</v>
      </c>
      <c r="D5884" s="8" t="s">
        <v>7563</v>
      </c>
    </row>
    <row r="5885" spans="1:4" x14ac:dyDescent="0.35">
      <c r="A5885" t="s">
        <v>8229</v>
      </c>
      <c r="B5885" s="8" t="s">
        <v>3795</v>
      </c>
      <c r="C5885" t="s">
        <v>6194</v>
      </c>
      <c r="D5885" s="8" t="s">
        <v>6195</v>
      </c>
    </row>
    <row r="5886" spans="1:4" x14ac:dyDescent="0.35">
      <c r="A5886" t="s">
        <v>8229</v>
      </c>
      <c r="B5886" s="8" t="s">
        <v>3795</v>
      </c>
      <c r="C5886" t="s">
        <v>7562</v>
      </c>
      <c r="D5886" s="8" t="s">
        <v>7563</v>
      </c>
    </row>
    <row r="5887" spans="1:4" x14ac:dyDescent="0.35">
      <c r="A5887" t="s">
        <v>8230</v>
      </c>
      <c r="B5887" s="8" t="s">
        <v>8231</v>
      </c>
      <c r="C5887" t="s">
        <v>6841</v>
      </c>
      <c r="D5887" s="8" t="s">
        <v>6842</v>
      </c>
    </row>
    <row r="5888" spans="1:4" x14ac:dyDescent="0.35">
      <c r="A5888" t="s">
        <v>8230</v>
      </c>
      <c r="B5888" s="8" t="s">
        <v>8231</v>
      </c>
      <c r="C5888" t="s">
        <v>6194</v>
      </c>
      <c r="D5888" s="8" t="s">
        <v>6195</v>
      </c>
    </row>
    <row r="5889" spans="1:4" x14ac:dyDescent="0.35">
      <c r="A5889" t="s">
        <v>8230</v>
      </c>
      <c r="B5889" s="8" t="s">
        <v>8231</v>
      </c>
      <c r="C5889" t="s">
        <v>7562</v>
      </c>
      <c r="D5889" s="8" t="s">
        <v>7563</v>
      </c>
    </row>
    <row r="5890" spans="1:4" x14ac:dyDescent="0.35">
      <c r="A5890" t="s">
        <v>8232</v>
      </c>
      <c r="B5890" s="8" t="s">
        <v>3881</v>
      </c>
      <c r="C5890" t="s">
        <v>6841</v>
      </c>
      <c r="D5890" s="8" t="s">
        <v>6842</v>
      </c>
    </row>
    <row r="5891" spans="1:4" x14ac:dyDescent="0.35">
      <c r="A5891" t="s">
        <v>8232</v>
      </c>
      <c r="B5891" s="8" t="s">
        <v>3881</v>
      </c>
      <c r="C5891" t="s">
        <v>6194</v>
      </c>
      <c r="D5891" s="8" t="s">
        <v>6195</v>
      </c>
    </row>
    <row r="5892" spans="1:4" x14ac:dyDescent="0.35">
      <c r="A5892" t="s">
        <v>8232</v>
      </c>
      <c r="B5892" s="8" t="s">
        <v>3881</v>
      </c>
      <c r="C5892" t="s">
        <v>7560</v>
      </c>
      <c r="D5892" s="8" t="s">
        <v>7561</v>
      </c>
    </row>
    <row r="5893" spans="1:4" x14ac:dyDescent="0.35">
      <c r="A5893" t="s">
        <v>8232</v>
      </c>
      <c r="B5893" s="8" t="s">
        <v>3881</v>
      </c>
      <c r="C5893" t="s">
        <v>7562</v>
      </c>
      <c r="D5893" s="8" t="s">
        <v>7563</v>
      </c>
    </row>
    <row r="5894" spans="1:4" x14ac:dyDescent="0.35">
      <c r="A5894" t="s">
        <v>8233</v>
      </c>
      <c r="B5894" s="8" t="s">
        <v>4043</v>
      </c>
      <c r="C5894" t="s">
        <v>6841</v>
      </c>
      <c r="D5894" s="8" t="s">
        <v>6842</v>
      </c>
    </row>
    <row r="5895" spans="1:4" x14ac:dyDescent="0.35">
      <c r="A5895" t="s">
        <v>8233</v>
      </c>
      <c r="B5895" s="8" t="s">
        <v>4043</v>
      </c>
      <c r="C5895" t="s">
        <v>6194</v>
      </c>
      <c r="D5895" s="8" t="s">
        <v>6195</v>
      </c>
    </row>
    <row r="5896" spans="1:4" x14ac:dyDescent="0.35">
      <c r="A5896" t="s">
        <v>8233</v>
      </c>
      <c r="B5896" s="8" t="s">
        <v>4043</v>
      </c>
      <c r="C5896" t="s">
        <v>7560</v>
      </c>
      <c r="D5896" s="8" t="s">
        <v>7561</v>
      </c>
    </row>
    <row r="5897" spans="1:4" x14ac:dyDescent="0.35">
      <c r="A5897" t="s">
        <v>8234</v>
      </c>
      <c r="B5897" s="8" t="s">
        <v>4085</v>
      </c>
      <c r="C5897" t="s">
        <v>6841</v>
      </c>
      <c r="D5897" s="8" t="s">
        <v>6842</v>
      </c>
    </row>
    <row r="5898" spans="1:4" x14ac:dyDescent="0.35">
      <c r="A5898" t="s">
        <v>8234</v>
      </c>
      <c r="B5898" s="8" t="s">
        <v>4085</v>
      </c>
      <c r="C5898" t="s">
        <v>6194</v>
      </c>
      <c r="D5898" s="8" t="s">
        <v>6195</v>
      </c>
    </row>
    <row r="5899" spans="1:4" x14ac:dyDescent="0.35">
      <c r="A5899" t="s">
        <v>8234</v>
      </c>
      <c r="B5899" s="8" t="s">
        <v>4085</v>
      </c>
      <c r="C5899" t="s">
        <v>7562</v>
      </c>
      <c r="D5899" s="8" t="s">
        <v>7563</v>
      </c>
    </row>
    <row r="5900" spans="1:4" x14ac:dyDescent="0.35">
      <c r="A5900" t="s">
        <v>8235</v>
      </c>
      <c r="B5900" s="8" t="s">
        <v>3843</v>
      </c>
      <c r="C5900" t="s">
        <v>6841</v>
      </c>
      <c r="D5900" s="8" t="s">
        <v>6842</v>
      </c>
    </row>
    <row r="5901" spans="1:4" x14ac:dyDescent="0.35">
      <c r="A5901" t="s">
        <v>8235</v>
      </c>
      <c r="B5901" s="8" t="s">
        <v>3843</v>
      </c>
      <c r="C5901" t="s">
        <v>6194</v>
      </c>
      <c r="D5901" s="8" t="s">
        <v>6195</v>
      </c>
    </row>
    <row r="5902" spans="1:4" x14ac:dyDescent="0.35">
      <c r="A5902" t="s">
        <v>8235</v>
      </c>
      <c r="B5902" s="8" t="s">
        <v>3843</v>
      </c>
      <c r="C5902" t="s">
        <v>7562</v>
      </c>
      <c r="D5902" s="8" t="s">
        <v>7563</v>
      </c>
    </row>
    <row r="5903" spans="1:4" x14ac:dyDescent="0.35">
      <c r="A5903" t="s">
        <v>8236</v>
      </c>
      <c r="B5903" s="8" t="s">
        <v>3848</v>
      </c>
      <c r="C5903" t="s">
        <v>6841</v>
      </c>
      <c r="D5903" s="8" t="s">
        <v>6842</v>
      </c>
    </row>
    <row r="5904" spans="1:4" x14ac:dyDescent="0.35">
      <c r="A5904" t="s">
        <v>8236</v>
      </c>
      <c r="B5904" s="8" t="s">
        <v>3848</v>
      </c>
      <c r="C5904" t="s">
        <v>6194</v>
      </c>
      <c r="D5904" s="8" t="s">
        <v>6195</v>
      </c>
    </row>
    <row r="5905" spans="1:4" x14ac:dyDescent="0.35">
      <c r="A5905" t="s">
        <v>8236</v>
      </c>
      <c r="B5905" s="8" t="s">
        <v>3848</v>
      </c>
      <c r="C5905" t="s">
        <v>7562</v>
      </c>
      <c r="D5905" s="8" t="s">
        <v>7563</v>
      </c>
    </row>
    <row r="5906" spans="1:4" x14ac:dyDescent="0.35">
      <c r="A5906" t="s">
        <v>8237</v>
      </c>
      <c r="B5906" s="8" t="s">
        <v>8238</v>
      </c>
      <c r="C5906" t="s">
        <v>6841</v>
      </c>
      <c r="D5906" s="8" t="s">
        <v>6842</v>
      </c>
    </row>
    <row r="5907" spans="1:4" x14ac:dyDescent="0.35">
      <c r="A5907" t="s">
        <v>8237</v>
      </c>
      <c r="B5907" s="8" t="s">
        <v>8238</v>
      </c>
      <c r="C5907" t="s">
        <v>6194</v>
      </c>
      <c r="D5907" s="8" t="s">
        <v>6195</v>
      </c>
    </row>
    <row r="5908" spans="1:4" x14ac:dyDescent="0.35">
      <c r="A5908" t="s">
        <v>8237</v>
      </c>
      <c r="B5908" s="8" t="s">
        <v>8238</v>
      </c>
      <c r="C5908" t="s">
        <v>7562</v>
      </c>
      <c r="D5908" s="8" t="s">
        <v>7563</v>
      </c>
    </row>
    <row r="5909" spans="1:4" x14ac:dyDescent="0.35">
      <c r="A5909" t="s">
        <v>8239</v>
      </c>
      <c r="B5909" s="8" t="s">
        <v>3845</v>
      </c>
      <c r="C5909" t="s">
        <v>6194</v>
      </c>
      <c r="D5909" s="8" t="s">
        <v>6195</v>
      </c>
    </row>
    <row r="5910" spans="1:4" x14ac:dyDescent="0.35">
      <c r="A5910" t="s">
        <v>8239</v>
      </c>
      <c r="B5910" s="8" t="s">
        <v>3845</v>
      </c>
      <c r="C5910" t="s">
        <v>7562</v>
      </c>
      <c r="D5910" s="8" t="s">
        <v>7563</v>
      </c>
    </row>
    <row r="5911" spans="1:4" x14ac:dyDescent="0.35">
      <c r="A5911" t="s">
        <v>8240</v>
      </c>
      <c r="B5911" s="8" t="s">
        <v>4049</v>
      </c>
      <c r="C5911" t="s">
        <v>6841</v>
      </c>
      <c r="D5911" s="8" t="s">
        <v>6842</v>
      </c>
    </row>
    <row r="5912" spans="1:4" x14ac:dyDescent="0.35">
      <c r="A5912" t="s">
        <v>8240</v>
      </c>
      <c r="B5912" s="8" t="s">
        <v>4049</v>
      </c>
      <c r="C5912" t="s">
        <v>6194</v>
      </c>
      <c r="D5912" s="8" t="s">
        <v>6195</v>
      </c>
    </row>
    <row r="5913" spans="1:4" x14ac:dyDescent="0.35">
      <c r="A5913" t="s">
        <v>8240</v>
      </c>
      <c r="B5913" s="8" t="s">
        <v>4049</v>
      </c>
      <c r="C5913" t="s">
        <v>7560</v>
      </c>
      <c r="D5913" s="8" t="s">
        <v>7561</v>
      </c>
    </row>
    <row r="5914" spans="1:4" x14ac:dyDescent="0.35">
      <c r="A5914" t="s">
        <v>8241</v>
      </c>
      <c r="B5914" s="8" t="s">
        <v>8242</v>
      </c>
      <c r="C5914" t="s">
        <v>6841</v>
      </c>
      <c r="D5914" s="8" t="s">
        <v>6842</v>
      </c>
    </row>
    <row r="5915" spans="1:4" x14ac:dyDescent="0.35">
      <c r="A5915" t="s">
        <v>8241</v>
      </c>
      <c r="B5915" s="8" t="s">
        <v>8242</v>
      </c>
      <c r="C5915" t="s">
        <v>6194</v>
      </c>
      <c r="D5915" s="8" t="s">
        <v>6195</v>
      </c>
    </row>
    <row r="5916" spans="1:4" x14ac:dyDescent="0.35">
      <c r="A5916" t="s">
        <v>8241</v>
      </c>
      <c r="B5916" s="8" t="s">
        <v>8242</v>
      </c>
      <c r="C5916" t="s">
        <v>7562</v>
      </c>
      <c r="D5916" s="8" t="s">
        <v>7563</v>
      </c>
    </row>
    <row r="5917" spans="1:4" x14ac:dyDescent="0.35">
      <c r="A5917" t="s">
        <v>8243</v>
      </c>
      <c r="B5917" s="8" t="s">
        <v>8244</v>
      </c>
      <c r="C5917" t="s">
        <v>6841</v>
      </c>
      <c r="D5917" s="8" t="s">
        <v>6842</v>
      </c>
    </row>
    <row r="5918" spans="1:4" x14ac:dyDescent="0.35">
      <c r="A5918" t="s">
        <v>8243</v>
      </c>
      <c r="B5918" s="8" t="s">
        <v>8244</v>
      </c>
      <c r="C5918" t="s">
        <v>6194</v>
      </c>
      <c r="D5918" s="8" t="s">
        <v>6195</v>
      </c>
    </row>
    <row r="5919" spans="1:4" x14ac:dyDescent="0.35">
      <c r="A5919" t="s">
        <v>8243</v>
      </c>
      <c r="B5919" s="8" t="s">
        <v>8244</v>
      </c>
      <c r="C5919" t="s">
        <v>7554</v>
      </c>
      <c r="D5919" s="8" t="s">
        <v>7555</v>
      </c>
    </row>
    <row r="5920" spans="1:4" x14ac:dyDescent="0.35">
      <c r="A5920" t="s">
        <v>8243</v>
      </c>
      <c r="B5920" s="8" t="s">
        <v>8244</v>
      </c>
      <c r="C5920" t="s">
        <v>7562</v>
      </c>
      <c r="D5920" s="8" t="s">
        <v>7563</v>
      </c>
    </row>
    <row r="5921" spans="1:4" x14ac:dyDescent="0.35">
      <c r="A5921" t="s">
        <v>8245</v>
      </c>
      <c r="B5921" s="8" t="s">
        <v>6164</v>
      </c>
      <c r="C5921" t="s">
        <v>8246</v>
      </c>
      <c r="D5921" s="8" t="s">
        <v>8247</v>
      </c>
    </row>
    <row r="5922" spans="1:4" x14ac:dyDescent="0.35">
      <c r="A5922" t="s">
        <v>8245</v>
      </c>
      <c r="B5922" s="8" t="s">
        <v>6164</v>
      </c>
      <c r="C5922" t="s">
        <v>8248</v>
      </c>
      <c r="D5922" s="8" t="s">
        <v>8249</v>
      </c>
    </row>
    <row r="5923" spans="1:4" x14ac:dyDescent="0.35">
      <c r="A5923" t="s">
        <v>8245</v>
      </c>
      <c r="B5923" s="8" t="s">
        <v>6164</v>
      </c>
      <c r="C5923" t="s">
        <v>8250</v>
      </c>
      <c r="D5923" s="8" t="s">
        <v>8251</v>
      </c>
    </row>
    <row r="5924" spans="1:4" x14ac:dyDescent="0.35">
      <c r="A5924" t="s">
        <v>8245</v>
      </c>
      <c r="B5924" s="8" t="s">
        <v>6164</v>
      </c>
      <c r="C5924" t="s">
        <v>8252</v>
      </c>
      <c r="D5924" s="8" t="s">
        <v>8253</v>
      </c>
    </row>
    <row r="5925" spans="1:4" x14ac:dyDescent="0.35">
      <c r="A5925" t="s">
        <v>8245</v>
      </c>
      <c r="B5925" s="8" t="s">
        <v>6164</v>
      </c>
      <c r="C5925" t="s">
        <v>8254</v>
      </c>
      <c r="D5925" s="8" t="s">
        <v>8255</v>
      </c>
    </row>
    <row r="5926" spans="1:4" x14ac:dyDescent="0.35">
      <c r="A5926" t="s">
        <v>8245</v>
      </c>
      <c r="B5926" s="8" t="s">
        <v>6164</v>
      </c>
      <c r="C5926" t="s">
        <v>8256</v>
      </c>
      <c r="D5926" s="8" t="s">
        <v>8257</v>
      </c>
    </row>
    <row r="5927" spans="1:4" x14ac:dyDescent="0.35">
      <c r="A5927" t="s">
        <v>8245</v>
      </c>
      <c r="B5927" s="8" t="s">
        <v>6164</v>
      </c>
      <c r="C5927" t="s">
        <v>8258</v>
      </c>
      <c r="D5927" s="8" t="s">
        <v>8259</v>
      </c>
    </row>
    <row r="5928" spans="1:4" x14ac:dyDescent="0.35">
      <c r="A5928" t="s">
        <v>8245</v>
      </c>
      <c r="B5928" s="8" t="s">
        <v>6164</v>
      </c>
      <c r="C5928" t="s">
        <v>8260</v>
      </c>
      <c r="D5928" s="8" t="s">
        <v>8261</v>
      </c>
    </row>
    <row r="5929" spans="1:4" x14ac:dyDescent="0.35">
      <c r="A5929" t="s">
        <v>8245</v>
      </c>
      <c r="B5929" s="8" t="s">
        <v>6164</v>
      </c>
      <c r="C5929" t="s">
        <v>8262</v>
      </c>
      <c r="D5929" s="8" t="s">
        <v>8263</v>
      </c>
    </row>
    <row r="5930" spans="1:4" x14ac:dyDescent="0.35">
      <c r="A5930" t="s">
        <v>8245</v>
      </c>
      <c r="B5930" s="8" t="s">
        <v>6164</v>
      </c>
      <c r="C5930" t="s">
        <v>8264</v>
      </c>
      <c r="D5930" s="8" t="s">
        <v>8265</v>
      </c>
    </row>
    <row r="5931" spans="1:4" x14ac:dyDescent="0.35">
      <c r="A5931" t="s">
        <v>8245</v>
      </c>
      <c r="B5931" s="8" t="s">
        <v>6164</v>
      </c>
      <c r="C5931" t="s">
        <v>8266</v>
      </c>
      <c r="D5931" s="8" t="s">
        <v>8267</v>
      </c>
    </row>
    <row r="5932" spans="1:4" x14ac:dyDescent="0.35">
      <c r="A5932" t="s">
        <v>8245</v>
      </c>
      <c r="B5932" s="8" t="s">
        <v>6164</v>
      </c>
      <c r="C5932" t="s">
        <v>8268</v>
      </c>
      <c r="D5932" s="8" t="s">
        <v>8269</v>
      </c>
    </row>
    <row r="5933" spans="1:4" x14ac:dyDescent="0.35">
      <c r="A5933" t="s">
        <v>8245</v>
      </c>
      <c r="B5933" s="8" t="s">
        <v>6164</v>
      </c>
      <c r="C5933" t="s">
        <v>8270</v>
      </c>
      <c r="D5933" s="8" t="s">
        <v>8271</v>
      </c>
    </row>
    <row r="5934" spans="1:4" x14ac:dyDescent="0.35">
      <c r="A5934" t="s">
        <v>8245</v>
      </c>
      <c r="B5934" s="8" t="s">
        <v>6164</v>
      </c>
      <c r="C5934" t="s">
        <v>8272</v>
      </c>
      <c r="D5934" s="8" t="s">
        <v>8273</v>
      </c>
    </row>
    <row r="5935" spans="1:4" x14ac:dyDescent="0.35">
      <c r="A5935" t="s">
        <v>8245</v>
      </c>
      <c r="B5935" s="8" t="s">
        <v>6164</v>
      </c>
      <c r="C5935" t="s">
        <v>8274</v>
      </c>
      <c r="D5935" s="8" t="s">
        <v>8275</v>
      </c>
    </row>
    <row r="5936" spans="1:4" x14ac:dyDescent="0.35">
      <c r="A5936" t="s">
        <v>8245</v>
      </c>
      <c r="B5936" s="8" t="s">
        <v>6164</v>
      </c>
      <c r="C5936" t="s">
        <v>8276</v>
      </c>
      <c r="D5936" s="8" t="s">
        <v>8277</v>
      </c>
    </row>
    <row r="5937" spans="1:4" x14ac:dyDescent="0.35">
      <c r="A5937" t="s">
        <v>8245</v>
      </c>
      <c r="B5937" s="8" t="s">
        <v>6164</v>
      </c>
      <c r="C5937" t="s">
        <v>8278</v>
      </c>
      <c r="D5937" s="8" t="s">
        <v>8279</v>
      </c>
    </row>
    <row r="5938" spans="1:4" x14ac:dyDescent="0.35">
      <c r="A5938" t="s">
        <v>8245</v>
      </c>
      <c r="B5938" s="8" t="s">
        <v>6164</v>
      </c>
      <c r="C5938" t="s">
        <v>8280</v>
      </c>
      <c r="D5938" s="8" t="s">
        <v>8281</v>
      </c>
    </row>
    <row r="5939" spans="1:4" x14ac:dyDescent="0.35">
      <c r="A5939" t="s">
        <v>8245</v>
      </c>
      <c r="B5939" s="8" t="s">
        <v>6164</v>
      </c>
      <c r="C5939" t="s">
        <v>8282</v>
      </c>
      <c r="D5939" s="8" t="s">
        <v>8283</v>
      </c>
    </row>
    <row r="5940" spans="1:4" x14ac:dyDescent="0.35">
      <c r="A5940" t="s">
        <v>8245</v>
      </c>
      <c r="B5940" s="8" t="s">
        <v>6164</v>
      </c>
      <c r="C5940" t="s">
        <v>8284</v>
      </c>
      <c r="D5940" s="8" t="s">
        <v>8285</v>
      </c>
    </row>
    <row r="5941" spans="1:4" x14ac:dyDescent="0.35">
      <c r="A5941" t="s">
        <v>8245</v>
      </c>
      <c r="B5941" s="8" t="s">
        <v>6164</v>
      </c>
      <c r="C5941" t="s">
        <v>8286</v>
      </c>
      <c r="D5941" s="8" t="s">
        <v>8287</v>
      </c>
    </row>
    <row r="5942" spans="1:4" x14ac:dyDescent="0.35">
      <c r="A5942" t="s">
        <v>8245</v>
      </c>
      <c r="B5942" s="8" t="s">
        <v>6164</v>
      </c>
      <c r="C5942" t="s">
        <v>8288</v>
      </c>
      <c r="D5942" s="8" t="s">
        <v>8289</v>
      </c>
    </row>
    <row r="5943" spans="1:4" x14ac:dyDescent="0.35">
      <c r="A5943" t="s">
        <v>8245</v>
      </c>
      <c r="B5943" s="8" t="s">
        <v>6164</v>
      </c>
      <c r="C5943" t="s">
        <v>8290</v>
      </c>
      <c r="D5943" s="8" t="s">
        <v>8291</v>
      </c>
    </row>
    <row r="5944" spans="1:4" x14ac:dyDescent="0.35">
      <c r="A5944" t="s">
        <v>8245</v>
      </c>
      <c r="B5944" s="8" t="s">
        <v>6164</v>
      </c>
      <c r="C5944" t="s">
        <v>8292</v>
      </c>
      <c r="D5944" s="8" t="s">
        <v>8293</v>
      </c>
    </row>
    <row r="5945" spans="1:4" x14ac:dyDescent="0.35">
      <c r="A5945" t="s">
        <v>8245</v>
      </c>
      <c r="B5945" s="8" t="s">
        <v>6164</v>
      </c>
      <c r="C5945" t="s">
        <v>8294</v>
      </c>
      <c r="D5945" s="8" t="s">
        <v>8295</v>
      </c>
    </row>
    <row r="5946" spans="1:4" x14ac:dyDescent="0.35">
      <c r="A5946" t="s">
        <v>8245</v>
      </c>
      <c r="B5946" s="8" t="s">
        <v>6164</v>
      </c>
      <c r="C5946" t="s">
        <v>8296</v>
      </c>
      <c r="D5946" s="8" t="s">
        <v>8297</v>
      </c>
    </row>
    <row r="5947" spans="1:4" x14ac:dyDescent="0.35">
      <c r="A5947" t="s">
        <v>8245</v>
      </c>
      <c r="B5947" s="8" t="s">
        <v>6164</v>
      </c>
      <c r="C5947" t="s">
        <v>8298</v>
      </c>
      <c r="D5947" s="8" t="s">
        <v>8299</v>
      </c>
    </row>
    <row r="5948" spans="1:4" x14ac:dyDescent="0.35">
      <c r="A5948" t="s">
        <v>8245</v>
      </c>
      <c r="B5948" s="8" t="s">
        <v>6164</v>
      </c>
      <c r="C5948" t="s">
        <v>8300</v>
      </c>
      <c r="D5948" s="8" t="s">
        <v>8301</v>
      </c>
    </row>
    <row r="5949" spans="1:4" x14ac:dyDescent="0.35">
      <c r="A5949" t="s">
        <v>8245</v>
      </c>
      <c r="B5949" s="8" t="s">
        <v>6164</v>
      </c>
      <c r="C5949" t="s">
        <v>8302</v>
      </c>
      <c r="D5949" s="8" t="s">
        <v>8303</v>
      </c>
    </row>
    <row r="5950" spans="1:4" x14ac:dyDescent="0.35">
      <c r="A5950" t="s">
        <v>8245</v>
      </c>
      <c r="B5950" s="8" t="s">
        <v>6164</v>
      </c>
      <c r="C5950" t="s">
        <v>8304</v>
      </c>
      <c r="D5950" s="8" t="s">
        <v>8305</v>
      </c>
    </row>
    <row r="5951" spans="1:4" x14ac:dyDescent="0.35">
      <c r="A5951" t="s">
        <v>8245</v>
      </c>
      <c r="B5951" s="8" t="s">
        <v>6164</v>
      </c>
      <c r="C5951" t="s">
        <v>8306</v>
      </c>
      <c r="D5951" s="8" t="s">
        <v>8307</v>
      </c>
    </row>
    <row r="5952" spans="1:4" x14ac:dyDescent="0.35">
      <c r="A5952" t="s">
        <v>8245</v>
      </c>
      <c r="B5952" s="8" t="s">
        <v>6164</v>
      </c>
      <c r="C5952" t="s">
        <v>8308</v>
      </c>
      <c r="D5952" s="8" t="s">
        <v>8309</v>
      </c>
    </row>
    <row r="5953" spans="1:4" x14ac:dyDescent="0.35">
      <c r="A5953" t="s">
        <v>8245</v>
      </c>
      <c r="B5953" s="8" t="s">
        <v>6164</v>
      </c>
      <c r="C5953" t="s">
        <v>8310</v>
      </c>
      <c r="D5953" s="8" t="s">
        <v>8311</v>
      </c>
    </row>
    <row r="5954" spans="1:4" x14ac:dyDescent="0.35">
      <c r="A5954" t="s">
        <v>8245</v>
      </c>
      <c r="B5954" s="8" t="s">
        <v>6164</v>
      </c>
      <c r="C5954" t="s">
        <v>8312</v>
      </c>
      <c r="D5954" s="8" t="s">
        <v>8313</v>
      </c>
    </row>
    <row r="5955" spans="1:4" x14ac:dyDescent="0.35">
      <c r="A5955" t="s">
        <v>8245</v>
      </c>
      <c r="B5955" s="8" t="s">
        <v>6164</v>
      </c>
      <c r="C5955" t="s">
        <v>8314</v>
      </c>
      <c r="D5955" s="8" t="s">
        <v>8315</v>
      </c>
    </row>
    <row r="5956" spans="1:4" x14ac:dyDescent="0.35">
      <c r="A5956" t="s">
        <v>8245</v>
      </c>
      <c r="B5956" s="8" t="s">
        <v>6164</v>
      </c>
      <c r="C5956" t="s">
        <v>8316</v>
      </c>
      <c r="D5956" s="8" t="s">
        <v>8317</v>
      </c>
    </row>
    <row r="5957" spans="1:4" x14ac:dyDescent="0.35">
      <c r="A5957" t="s">
        <v>8245</v>
      </c>
      <c r="B5957" s="8" t="s">
        <v>6164</v>
      </c>
      <c r="C5957" t="s">
        <v>8318</v>
      </c>
      <c r="D5957" s="8" t="s">
        <v>8319</v>
      </c>
    </row>
    <row r="5958" spans="1:4" x14ac:dyDescent="0.35">
      <c r="A5958" t="s">
        <v>8245</v>
      </c>
      <c r="B5958" s="8" t="s">
        <v>6164</v>
      </c>
      <c r="C5958" t="s">
        <v>8320</v>
      </c>
      <c r="D5958" s="8" t="s">
        <v>8321</v>
      </c>
    </row>
    <row r="5959" spans="1:4" x14ac:dyDescent="0.35">
      <c r="A5959" t="s">
        <v>8245</v>
      </c>
      <c r="B5959" s="8" t="s">
        <v>6164</v>
      </c>
      <c r="C5959" t="s">
        <v>8322</v>
      </c>
      <c r="D5959" s="8" t="s">
        <v>8323</v>
      </c>
    </row>
    <row r="5960" spans="1:4" x14ac:dyDescent="0.35">
      <c r="A5960" t="s">
        <v>8245</v>
      </c>
      <c r="B5960" s="8" t="s">
        <v>6164</v>
      </c>
      <c r="C5960" t="s">
        <v>8324</v>
      </c>
      <c r="D5960" s="8" t="s">
        <v>8325</v>
      </c>
    </row>
    <row r="5961" spans="1:4" x14ac:dyDescent="0.35">
      <c r="A5961" t="s">
        <v>8245</v>
      </c>
      <c r="B5961" s="8" t="s">
        <v>6164</v>
      </c>
      <c r="C5961" t="s">
        <v>8326</v>
      </c>
      <c r="D5961" s="8" t="s">
        <v>8327</v>
      </c>
    </row>
    <row r="5962" spans="1:4" x14ac:dyDescent="0.35">
      <c r="A5962" t="s">
        <v>8245</v>
      </c>
      <c r="B5962" s="8" t="s">
        <v>6164</v>
      </c>
      <c r="C5962" t="s">
        <v>8328</v>
      </c>
      <c r="D5962" s="8" t="s">
        <v>8329</v>
      </c>
    </row>
    <row r="5963" spans="1:4" x14ac:dyDescent="0.35">
      <c r="A5963" t="s">
        <v>8245</v>
      </c>
      <c r="B5963" s="8" t="s">
        <v>6164</v>
      </c>
      <c r="C5963" t="s">
        <v>8330</v>
      </c>
      <c r="D5963" s="8" t="s">
        <v>8331</v>
      </c>
    </row>
    <row r="5964" spans="1:4" x14ac:dyDescent="0.35">
      <c r="A5964" t="s">
        <v>8245</v>
      </c>
      <c r="B5964" s="8" t="s">
        <v>6164</v>
      </c>
      <c r="C5964" t="s">
        <v>8332</v>
      </c>
      <c r="D5964" s="8" t="s">
        <v>8333</v>
      </c>
    </row>
    <row r="5965" spans="1:4" x14ac:dyDescent="0.35">
      <c r="A5965" t="s">
        <v>8245</v>
      </c>
      <c r="B5965" s="8" t="s">
        <v>6164</v>
      </c>
      <c r="C5965" t="s">
        <v>8334</v>
      </c>
      <c r="D5965" s="8" t="s">
        <v>8335</v>
      </c>
    </row>
    <row r="5966" spans="1:4" x14ac:dyDescent="0.35">
      <c r="A5966" t="s">
        <v>8245</v>
      </c>
      <c r="B5966" s="8" t="s">
        <v>6164</v>
      </c>
      <c r="C5966" t="s">
        <v>8336</v>
      </c>
      <c r="D5966" s="8" t="s">
        <v>8337</v>
      </c>
    </row>
    <row r="5967" spans="1:4" x14ac:dyDescent="0.35">
      <c r="A5967" t="s">
        <v>8245</v>
      </c>
      <c r="B5967" s="8" t="s">
        <v>6164</v>
      </c>
      <c r="C5967" t="s">
        <v>8338</v>
      </c>
      <c r="D5967" s="8" t="s">
        <v>8339</v>
      </c>
    </row>
    <row r="5968" spans="1:4" x14ac:dyDescent="0.35">
      <c r="A5968" t="s">
        <v>8245</v>
      </c>
      <c r="B5968" s="8" t="s">
        <v>6164</v>
      </c>
      <c r="C5968" t="s">
        <v>8340</v>
      </c>
      <c r="D5968" s="8" t="s">
        <v>8341</v>
      </c>
    </row>
    <row r="5969" spans="1:4" x14ac:dyDescent="0.35">
      <c r="A5969" t="s">
        <v>8245</v>
      </c>
      <c r="B5969" s="8" t="s">
        <v>6164</v>
      </c>
      <c r="C5969" t="s">
        <v>8342</v>
      </c>
      <c r="D5969" s="8" t="s">
        <v>8343</v>
      </c>
    </row>
    <row r="5970" spans="1:4" x14ac:dyDescent="0.35">
      <c r="A5970" t="s">
        <v>8245</v>
      </c>
      <c r="B5970" s="8" t="s">
        <v>6164</v>
      </c>
      <c r="C5970" t="s">
        <v>8344</v>
      </c>
      <c r="D5970" s="8" t="s">
        <v>8345</v>
      </c>
    </row>
    <row r="5971" spans="1:4" x14ac:dyDescent="0.35">
      <c r="A5971" t="s">
        <v>8245</v>
      </c>
      <c r="B5971" s="8" t="s">
        <v>6164</v>
      </c>
      <c r="C5971" t="s">
        <v>8346</v>
      </c>
      <c r="D5971" s="8" t="s">
        <v>8347</v>
      </c>
    </row>
    <row r="5972" spans="1:4" x14ac:dyDescent="0.35">
      <c r="A5972" t="s">
        <v>8245</v>
      </c>
      <c r="B5972" s="8" t="s">
        <v>6164</v>
      </c>
      <c r="C5972" t="s">
        <v>8348</v>
      </c>
      <c r="D5972" s="8" t="s">
        <v>8349</v>
      </c>
    </row>
    <row r="5973" spans="1:4" x14ac:dyDescent="0.35">
      <c r="A5973" t="s">
        <v>8245</v>
      </c>
      <c r="B5973" s="8" t="s">
        <v>6164</v>
      </c>
      <c r="C5973" t="s">
        <v>8350</v>
      </c>
      <c r="D5973" s="8" t="s">
        <v>8351</v>
      </c>
    </row>
    <row r="5974" spans="1:4" x14ac:dyDescent="0.35">
      <c r="A5974" t="s">
        <v>8245</v>
      </c>
      <c r="B5974" s="8" t="s">
        <v>6164</v>
      </c>
      <c r="C5974" t="s">
        <v>8352</v>
      </c>
      <c r="D5974" s="8" t="s">
        <v>8353</v>
      </c>
    </row>
    <row r="5975" spans="1:4" x14ac:dyDescent="0.35">
      <c r="A5975" t="s">
        <v>8245</v>
      </c>
      <c r="B5975" s="8" t="s">
        <v>6164</v>
      </c>
      <c r="C5975" t="s">
        <v>8354</v>
      </c>
      <c r="D5975" s="8" t="s">
        <v>8355</v>
      </c>
    </row>
    <row r="5976" spans="1:4" x14ac:dyDescent="0.35">
      <c r="A5976" t="s">
        <v>8245</v>
      </c>
      <c r="B5976" s="8" t="s">
        <v>6164</v>
      </c>
      <c r="C5976" t="s">
        <v>8356</v>
      </c>
      <c r="D5976" s="8" t="s">
        <v>8357</v>
      </c>
    </row>
    <row r="5977" spans="1:4" x14ac:dyDescent="0.35">
      <c r="A5977" t="s">
        <v>8245</v>
      </c>
      <c r="B5977" s="8" t="s">
        <v>6164</v>
      </c>
      <c r="C5977" t="s">
        <v>8358</v>
      </c>
      <c r="D5977" s="8" t="s">
        <v>8359</v>
      </c>
    </row>
    <row r="5978" spans="1:4" x14ac:dyDescent="0.35">
      <c r="A5978" t="s">
        <v>8245</v>
      </c>
      <c r="B5978" s="8" t="s">
        <v>6164</v>
      </c>
      <c r="C5978" t="s">
        <v>8360</v>
      </c>
      <c r="D5978" s="8" t="s">
        <v>8361</v>
      </c>
    </row>
    <row r="5979" spans="1:4" x14ac:dyDescent="0.35">
      <c r="A5979" t="s">
        <v>8245</v>
      </c>
      <c r="B5979" s="8" t="s">
        <v>6164</v>
      </c>
      <c r="C5979" t="s">
        <v>8362</v>
      </c>
      <c r="D5979" s="8" t="s">
        <v>8363</v>
      </c>
    </row>
    <row r="5980" spans="1:4" x14ac:dyDescent="0.35">
      <c r="A5980" t="s">
        <v>8245</v>
      </c>
      <c r="B5980" s="8" t="s">
        <v>6164</v>
      </c>
      <c r="C5980" t="s">
        <v>8364</v>
      </c>
      <c r="D5980" s="8" t="s">
        <v>8365</v>
      </c>
    </row>
    <row r="5981" spans="1:4" x14ac:dyDescent="0.35">
      <c r="A5981" t="s">
        <v>8245</v>
      </c>
      <c r="B5981" s="8" t="s">
        <v>6164</v>
      </c>
      <c r="C5981" t="s">
        <v>8366</v>
      </c>
      <c r="D5981" s="8" t="s">
        <v>8367</v>
      </c>
    </row>
    <row r="5982" spans="1:4" x14ac:dyDescent="0.35">
      <c r="A5982" t="s">
        <v>8245</v>
      </c>
      <c r="B5982" s="8" t="s">
        <v>6164</v>
      </c>
      <c r="C5982" t="s">
        <v>8368</v>
      </c>
      <c r="D5982" s="8" t="s">
        <v>8369</v>
      </c>
    </row>
    <row r="5983" spans="1:4" x14ac:dyDescent="0.35">
      <c r="A5983" t="s">
        <v>8245</v>
      </c>
      <c r="B5983" s="8" t="s">
        <v>6164</v>
      </c>
      <c r="C5983" t="s">
        <v>8370</v>
      </c>
      <c r="D5983" s="8" t="s">
        <v>8371</v>
      </c>
    </row>
    <row r="5984" spans="1:4" x14ac:dyDescent="0.35">
      <c r="A5984" t="s">
        <v>8245</v>
      </c>
      <c r="B5984" s="8" t="s">
        <v>6164</v>
      </c>
      <c r="C5984" t="s">
        <v>8372</v>
      </c>
      <c r="D5984" s="8" t="s">
        <v>8373</v>
      </c>
    </row>
    <row r="5985" spans="1:4" x14ac:dyDescent="0.35">
      <c r="A5985" t="s">
        <v>8245</v>
      </c>
      <c r="B5985" s="8" t="s">
        <v>6164</v>
      </c>
      <c r="C5985" t="s">
        <v>8374</v>
      </c>
      <c r="D5985" s="8" t="s">
        <v>8375</v>
      </c>
    </row>
    <row r="5986" spans="1:4" x14ac:dyDescent="0.35">
      <c r="A5986" t="s">
        <v>8245</v>
      </c>
      <c r="B5986" s="8" t="s">
        <v>6164</v>
      </c>
      <c r="C5986" t="s">
        <v>8376</v>
      </c>
      <c r="D5986" s="8" t="s">
        <v>8377</v>
      </c>
    </row>
    <row r="5987" spans="1:4" x14ac:dyDescent="0.35">
      <c r="A5987" t="s">
        <v>8245</v>
      </c>
      <c r="B5987" s="8" t="s">
        <v>6164</v>
      </c>
      <c r="C5987" t="s">
        <v>8378</v>
      </c>
      <c r="D5987" s="8" t="s">
        <v>8379</v>
      </c>
    </row>
    <row r="5988" spans="1:4" x14ac:dyDescent="0.35">
      <c r="A5988" t="s">
        <v>8245</v>
      </c>
      <c r="B5988" s="8" t="s">
        <v>6164</v>
      </c>
      <c r="C5988" t="s">
        <v>8380</v>
      </c>
      <c r="D5988" s="8" t="s">
        <v>8381</v>
      </c>
    </row>
    <row r="5989" spans="1:4" x14ac:dyDescent="0.35">
      <c r="A5989" t="s">
        <v>8245</v>
      </c>
      <c r="B5989" s="8" t="s">
        <v>6164</v>
      </c>
      <c r="C5989" t="s">
        <v>8382</v>
      </c>
      <c r="D5989" s="8" t="s">
        <v>8383</v>
      </c>
    </row>
    <row r="5990" spans="1:4" x14ac:dyDescent="0.35">
      <c r="A5990" t="s">
        <v>8245</v>
      </c>
      <c r="B5990" s="8" t="s">
        <v>6164</v>
      </c>
      <c r="C5990" t="s">
        <v>8384</v>
      </c>
      <c r="D5990" s="8" t="s">
        <v>8385</v>
      </c>
    </row>
    <row r="5991" spans="1:4" x14ac:dyDescent="0.35">
      <c r="A5991" t="s">
        <v>8245</v>
      </c>
      <c r="B5991" s="8" t="s">
        <v>6164</v>
      </c>
      <c r="C5991" t="s">
        <v>8386</v>
      </c>
      <c r="D5991" s="8" t="s">
        <v>8387</v>
      </c>
    </row>
    <row r="5992" spans="1:4" x14ac:dyDescent="0.35">
      <c r="A5992" t="s">
        <v>8245</v>
      </c>
      <c r="B5992" s="8" t="s">
        <v>6164</v>
      </c>
      <c r="C5992" t="s">
        <v>8388</v>
      </c>
      <c r="D5992" s="8" t="s">
        <v>8389</v>
      </c>
    </row>
    <row r="5993" spans="1:4" x14ac:dyDescent="0.35">
      <c r="A5993" t="s">
        <v>8245</v>
      </c>
      <c r="B5993" s="8" t="s">
        <v>6164</v>
      </c>
      <c r="C5993" t="s">
        <v>8390</v>
      </c>
      <c r="D5993" s="8" t="s">
        <v>8391</v>
      </c>
    </row>
    <row r="5994" spans="1:4" x14ac:dyDescent="0.35">
      <c r="A5994" t="s">
        <v>8245</v>
      </c>
      <c r="B5994" s="8" t="s">
        <v>6164</v>
      </c>
      <c r="C5994" t="s">
        <v>8392</v>
      </c>
      <c r="D5994" s="8" t="s">
        <v>8393</v>
      </c>
    </row>
    <row r="5995" spans="1:4" x14ac:dyDescent="0.35">
      <c r="A5995" t="s">
        <v>8245</v>
      </c>
      <c r="B5995" s="8" t="s">
        <v>6164</v>
      </c>
      <c r="C5995" t="s">
        <v>8394</v>
      </c>
      <c r="D5995" s="8" t="s">
        <v>8395</v>
      </c>
    </row>
    <row r="5996" spans="1:4" x14ac:dyDescent="0.35">
      <c r="A5996" t="s">
        <v>8245</v>
      </c>
      <c r="B5996" s="8" t="s">
        <v>6164</v>
      </c>
      <c r="C5996" t="s">
        <v>8396</v>
      </c>
      <c r="D5996" s="8" t="s">
        <v>8397</v>
      </c>
    </row>
    <row r="5997" spans="1:4" x14ac:dyDescent="0.35">
      <c r="A5997" t="s">
        <v>8245</v>
      </c>
      <c r="B5997" s="8" t="s">
        <v>6164</v>
      </c>
      <c r="C5997" t="s">
        <v>8398</v>
      </c>
      <c r="D5997" s="8" t="s">
        <v>8399</v>
      </c>
    </row>
    <row r="5998" spans="1:4" x14ac:dyDescent="0.35">
      <c r="A5998" t="s">
        <v>8245</v>
      </c>
      <c r="B5998" s="8" t="s">
        <v>6164</v>
      </c>
      <c r="C5998" t="s">
        <v>8400</v>
      </c>
      <c r="D5998" s="8" t="s">
        <v>8401</v>
      </c>
    </row>
    <row r="5999" spans="1:4" x14ac:dyDescent="0.35">
      <c r="A5999" t="s">
        <v>8245</v>
      </c>
      <c r="B5999" s="8" t="s">
        <v>6164</v>
      </c>
      <c r="C5999" t="s">
        <v>8402</v>
      </c>
      <c r="D5999" s="8" t="s">
        <v>8403</v>
      </c>
    </row>
    <row r="6000" spans="1:4" x14ac:dyDescent="0.35">
      <c r="A6000" t="s">
        <v>8245</v>
      </c>
      <c r="B6000" s="8" t="s">
        <v>6164</v>
      </c>
      <c r="C6000" t="s">
        <v>8404</v>
      </c>
      <c r="D6000" s="8" t="s">
        <v>8405</v>
      </c>
    </row>
    <row r="6001" spans="1:4" x14ac:dyDescent="0.35">
      <c r="A6001" t="s">
        <v>8245</v>
      </c>
      <c r="B6001" s="8" t="s">
        <v>6164</v>
      </c>
      <c r="C6001" t="s">
        <v>8406</v>
      </c>
      <c r="D6001" s="8" t="s">
        <v>8407</v>
      </c>
    </row>
    <row r="6002" spans="1:4" x14ac:dyDescent="0.35">
      <c r="A6002" t="s">
        <v>8245</v>
      </c>
      <c r="B6002" s="8" t="s">
        <v>6164</v>
      </c>
      <c r="C6002" t="s">
        <v>8408</v>
      </c>
      <c r="D6002" s="8" t="s">
        <v>8409</v>
      </c>
    </row>
    <row r="6003" spans="1:4" x14ac:dyDescent="0.35">
      <c r="A6003" t="s">
        <v>8245</v>
      </c>
      <c r="B6003" s="8" t="s">
        <v>6164</v>
      </c>
      <c r="C6003" t="s">
        <v>8410</v>
      </c>
      <c r="D6003" s="8" t="s">
        <v>8411</v>
      </c>
    </row>
    <row r="6004" spans="1:4" x14ac:dyDescent="0.35">
      <c r="A6004" t="s">
        <v>8245</v>
      </c>
      <c r="B6004" s="8" t="s">
        <v>6164</v>
      </c>
      <c r="C6004" t="s">
        <v>8412</v>
      </c>
      <c r="D6004" s="8" t="s">
        <v>8413</v>
      </c>
    </row>
    <row r="6005" spans="1:4" x14ac:dyDescent="0.35">
      <c r="A6005" t="s">
        <v>8245</v>
      </c>
      <c r="B6005" s="8" t="s">
        <v>6164</v>
      </c>
      <c r="C6005" t="s">
        <v>8414</v>
      </c>
      <c r="D6005" s="8" t="s">
        <v>8415</v>
      </c>
    </row>
    <row r="6006" spans="1:4" x14ac:dyDescent="0.35">
      <c r="A6006" t="s">
        <v>8245</v>
      </c>
      <c r="B6006" s="8" t="s">
        <v>6164</v>
      </c>
      <c r="C6006" t="s">
        <v>8416</v>
      </c>
      <c r="D6006" s="8" t="s">
        <v>8417</v>
      </c>
    </row>
    <row r="6007" spans="1:4" x14ac:dyDescent="0.35">
      <c r="A6007" t="s">
        <v>8245</v>
      </c>
      <c r="B6007" s="8" t="s">
        <v>6164</v>
      </c>
      <c r="C6007" t="s">
        <v>8418</v>
      </c>
      <c r="D6007" s="8" t="s">
        <v>8419</v>
      </c>
    </row>
    <row r="6008" spans="1:4" x14ac:dyDescent="0.35">
      <c r="A6008" t="s">
        <v>8245</v>
      </c>
      <c r="B6008" s="8" t="s">
        <v>6164</v>
      </c>
      <c r="C6008" t="s">
        <v>8420</v>
      </c>
      <c r="D6008" s="8" t="s">
        <v>8421</v>
      </c>
    </row>
    <row r="6009" spans="1:4" x14ac:dyDescent="0.35">
      <c r="A6009" t="s">
        <v>8245</v>
      </c>
      <c r="B6009" s="8" t="s">
        <v>6164</v>
      </c>
      <c r="C6009" t="s">
        <v>8422</v>
      </c>
      <c r="D6009" s="8" t="s">
        <v>8423</v>
      </c>
    </row>
    <row r="6010" spans="1:4" x14ac:dyDescent="0.35">
      <c r="A6010" t="s">
        <v>8245</v>
      </c>
      <c r="B6010" s="8" t="s">
        <v>6164</v>
      </c>
      <c r="C6010" t="s">
        <v>8424</v>
      </c>
      <c r="D6010" s="8" t="s">
        <v>8425</v>
      </c>
    </row>
    <row r="6011" spans="1:4" x14ac:dyDescent="0.35">
      <c r="A6011" t="s">
        <v>8245</v>
      </c>
      <c r="B6011" s="8" t="s">
        <v>6164</v>
      </c>
      <c r="C6011" t="s">
        <v>8426</v>
      </c>
      <c r="D6011" s="8" t="s">
        <v>8427</v>
      </c>
    </row>
    <row r="6012" spans="1:4" x14ac:dyDescent="0.35">
      <c r="A6012" t="s">
        <v>8245</v>
      </c>
      <c r="B6012" s="8" t="s">
        <v>6164</v>
      </c>
      <c r="C6012" t="s">
        <v>8428</v>
      </c>
      <c r="D6012" s="8" t="s">
        <v>8429</v>
      </c>
    </row>
    <row r="6013" spans="1:4" x14ac:dyDescent="0.35">
      <c r="A6013" t="s">
        <v>8245</v>
      </c>
      <c r="B6013" s="8" t="s">
        <v>6164</v>
      </c>
      <c r="C6013" t="s">
        <v>8430</v>
      </c>
      <c r="D6013" s="8" t="s">
        <v>8431</v>
      </c>
    </row>
    <row r="6014" spans="1:4" x14ac:dyDescent="0.35">
      <c r="A6014" t="s">
        <v>8245</v>
      </c>
      <c r="B6014" s="8" t="s">
        <v>6164</v>
      </c>
      <c r="C6014" t="s">
        <v>8432</v>
      </c>
      <c r="D6014" s="8" t="s">
        <v>8433</v>
      </c>
    </row>
    <row r="6015" spans="1:4" x14ac:dyDescent="0.35">
      <c r="A6015" t="s">
        <v>8245</v>
      </c>
      <c r="B6015" s="8" t="s">
        <v>6164</v>
      </c>
      <c r="C6015" t="s">
        <v>8434</v>
      </c>
      <c r="D6015" s="8" t="s">
        <v>8435</v>
      </c>
    </row>
    <row r="6016" spans="1:4" x14ac:dyDescent="0.35">
      <c r="A6016" t="s">
        <v>8245</v>
      </c>
      <c r="B6016" s="8" t="s">
        <v>6164</v>
      </c>
      <c r="C6016" t="s">
        <v>8436</v>
      </c>
      <c r="D6016" s="8" t="s">
        <v>8437</v>
      </c>
    </row>
    <row r="6017" spans="1:4" x14ac:dyDescent="0.35">
      <c r="A6017" t="s">
        <v>8245</v>
      </c>
      <c r="B6017" s="8" t="s">
        <v>6164</v>
      </c>
      <c r="C6017" t="s">
        <v>8438</v>
      </c>
      <c r="D6017" s="8" t="s">
        <v>8439</v>
      </c>
    </row>
    <row r="6018" spans="1:4" x14ac:dyDescent="0.35">
      <c r="A6018" t="s">
        <v>8245</v>
      </c>
      <c r="B6018" s="8" t="s">
        <v>6164</v>
      </c>
      <c r="C6018" t="s">
        <v>8440</v>
      </c>
      <c r="D6018" s="8" t="s">
        <v>8441</v>
      </c>
    </row>
    <row r="6019" spans="1:4" x14ac:dyDescent="0.35">
      <c r="A6019" t="s">
        <v>8245</v>
      </c>
      <c r="B6019" s="8" t="s">
        <v>6164</v>
      </c>
      <c r="C6019" t="s">
        <v>8442</v>
      </c>
      <c r="D6019" s="8" t="s">
        <v>8443</v>
      </c>
    </row>
    <row r="6020" spans="1:4" x14ac:dyDescent="0.35">
      <c r="A6020" t="s">
        <v>8245</v>
      </c>
      <c r="B6020" s="8" t="s">
        <v>6164</v>
      </c>
      <c r="C6020" t="s">
        <v>8444</v>
      </c>
      <c r="D6020" s="8" t="s">
        <v>8445</v>
      </c>
    </row>
    <row r="6021" spans="1:4" x14ac:dyDescent="0.35">
      <c r="A6021" t="s">
        <v>8245</v>
      </c>
      <c r="B6021" s="8" t="s">
        <v>6164</v>
      </c>
      <c r="C6021" t="s">
        <v>8446</v>
      </c>
      <c r="D6021" s="8" t="s">
        <v>8447</v>
      </c>
    </row>
    <row r="6022" spans="1:4" x14ac:dyDescent="0.35">
      <c r="A6022" t="s">
        <v>8245</v>
      </c>
      <c r="B6022" s="8" t="s">
        <v>6164</v>
      </c>
      <c r="C6022" t="s">
        <v>8448</v>
      </c>
      <c r="D6022" s="8" t="s">
        <v>8449</v>
      </c>
    </row>
    <row r="6023" spans="1:4" x14ac:dyDescent="0.35">
      <c r="A6023" t="s">
        <v>8245</v>
      </c>
      <c r="B6023" s="8" t="s">
        <v>6164</v>
      </c>
      <c r="C6023" t="s">
        <v>8450</v>
      </c>
      <c r="D6023" s="8" t="s">
        <v>8451</v>
      </c>
    </row>
    <row r="6024" spans="1:4" x14ac:dyDescent="0.35">
      <c r="A6024" t="s">
        <v>8245</v>
      </c>
      <c r="B6024" s="8" t="s">
        <v>6164</v>
      </c>
      <c r="C6024" t="s">
        <v>8452</v>
      </c>
      <c r="D6024" s="8" t="s">
        <v>8453</v>
      </c>
    </row>
    <row r="6025" spans="1:4" x14ac:dyDescent="0.35">
      <c r="A6025" t="s">
        <v>8245</v>
      </c>
      <c r="B6025" s="8" t="s">
        <v>6164</v>
      </c>
      <c r="C6025" t="s">
        <v>8454</v>
      </c>
      <c r="D6025" s="8" t="s">
        <v>8455</v>
      </c>
    </row>
    <row r="6026" spans="1:4" x14ac:dyDescent="0.35">
      <c r="A6026" t="s">
        <v>8245</v>
      </c>
      <c r="B6026" s="8" t="s">
        <v>6164</v>
      </c>
      <c r="C6026" t="s">
        <v>8456</v>
      </c>
      <c r="D6026" s="8" t="s">
        <v>8457</v>
      </c>
    </row>
    <row r="6027" spans="1:4" x14ac:dyDescent="0.35">
      <c r="A6027" t="s">
        <v>8245</v>
      </c>
      <c r="B6027" s="8" t="s">
        <v>6164</v>
      </c>
      <c r="C6027" t="s">
        <v>8458</v>
      </c>
      <c r="D6027" s="8" t="s">
        <v>8459</v>
      </c>
    </row>
    <row r="6028" spans="1:4" x14ac:dyDescent="0.35">
      <c r="A6028" t="s">
        <v>8245</v>
      </c>
      <c r="B6028" s="8" t="s">
        <v>6164</v>
      </c>
      <c r="C6028" t="s">
        <v>8460</v>
      </c>
      <c r="D6028" s="8" t="s">
        <v>8461</v>
      </c>
    </row>
    <row r="6029" spans="1:4" x14ac:dyDescent="0.35">
      <c r="A6029" t="s">
        <v>8245</v>
      </c>
      <c r="B6029" s="8" t="s">
        <v>6164</v>
      </c>
      <c r="C6029" t="s">
        <v>8462</v>
      </c>
      <c r="D6029" s="8" t="s">
        <v>8463</v>
      </c>
    </row>
    <row r="6030" spans="1:4" x14ac:dyDescent="0.35">
      <c r="A6030" t="s">
        <v>8245</v>
      </c>
      <c r="B6030" s="8" t="s">
        <v>6164</v>
      </c>
      <c r="C6030" t="s">
        <v>8464</v>
      </c>
      <c r="D6030" s="8" t="s">
        <v>8465</v>
      </c>
    </row>
    <row r="6031" spans="1:4" x14ac:dyDescent="0.35">
      <c r="A6031" t="s">
        <v>8245</v>
      </c>
      <c r="B6031" s="8" t="s">
        <v>6164</v>
      </c>
      <c r="C6031" t="s">
        <v>8466</v>
      </c>
      <c r="D6031" s="8" t="s">
        <v>8467</v>
      </c>
    </row>
    <row r="6032" spans="1:4" ht="29" x14ac:dyDescent="0.35">
      <c r="A6032" t="s">
        <v>8245</v>
      </c>
      <c r="B6032" s="8" t="s">
        <v>6164</v>
      </c>
      <c r="C6032" t="s">
        <v>8468</v>
      </c>
      <c r="D6032" s="8" t="s">
        <v>8469</v>
      </c>
    </row>
    <row r="6033" spans="1:4" x14ac:dyDescent="0.35">
      <c r="A6033" t="s">
        <v>8245</v>
      </c>
      <c r="B6033" s="8" t="s">
        <v>6164</v>
      </c>
      <c r="C6033" t="s">
        <v>8470</v>
      </c>
      <c r="D6033" s="8" t="s">
        <v>8471</v>
      </c>
    </row>
    <row r="6034" spans="1:4" x14ac:dyDescent="0.35">
      <c r="A6034" t="s">
        <v>8245</v>
      </c>
      <c r="B6034" s="8" t="s">
        <v>6164</v>
      </c>
      <c r="C6034" t="s">
        <v>8472</v>
      </c>
      <c r="D6034" s="8" t="s">
        <v>8473</v>
      </c>
    </row>
    <row r="6035" spans="1:4" x14ac:dyDescent="0.35">
      <c r="A6035" t="s">
        <v>8245</v>
      </c>
      <c r="B6035" s="8" t="s">
        <v>6164</v>
      </c>
      <c r="C6035" t="s">
        <v>8474</v>
      </c>
      <c r="D6035" s="8" t="s">
        <v>8475</v>
      </c>
    </row>
    <row r="6036" spans="1:4" x14ac:dyDescent="0.35">
      <c r="A6036" t="s">
        <v>8245</v>
      </c>
      <c r="B6036" s="8" t="s">
        <v>6164</v>
      </c>
      <c r="C6036" t="s">
        <v>8476</v>
      </c>
      <c r="D6036" s="8" t="s">
        <v>8477</v>
      </c>
    </row>
    <row r="6037" spans="1:4" x14ac:dyDescent="0.35">
      <c r="A6037" t="s">
        <v>8245</v>
      </c>
      <c r="B6037" s="8" t="s">
        <v>6164</v>
      </c>
      <c r="C6037" t="s">
        <v>8478</v>
      </c>
      <c r="D6037" s="8" t="s">
        <v>8479</v>
      </c>
    </row>
    <row r="6038" spans="1:4" x14ac:dyDescent="0.35">
      <c r="A6038" t="s">
        <v>8245</v>
      </c>
      <c r="B6038" s="8" t="s">
        <v>6164</v>
      </c>
      <c r="C6038" t="s">
        <v>8480</v>
      </c>
      <c r="D6038" s="8" t="s">
        <v>8481</v>
      </c>
    </row>
    <row r="6039" spans="1:4" x14ac:dyDescent="0.35">
      <c r="A6039" t="s">
        <v>8245</v>
      </c>
      <c r="B6039" s="8" t="s">
        <v>6164</v>
      </c>
      <c r="C6039" t="s">
        <v>8482</v>
      </c>
      <c r="D6039" s="8" t="s">
        <v>8483</v>
      </c>
    </row>
    <row r="6040" spans="1:4" x14ac:dyDescent="0.35">
      <c r="A6040" t="s">
        <v>8245</v>
      </c>
      <c r="B6040" s="8" t="s">
        <v>6164</v>
      </c>
      <c r="C6040" t="s">
        <v>8484</v>
      </c>
      <c r="D6040" s="8" t="s">
        <v>8485</v>
      </c>
    </row>
    <row r="6041" spans="1:4" x14ac:dyDescent="0.35">
      <c r="A6041" t="s">
        <v>8245</v>
      </c>
      <c r="B6041" s="8" t="s">
        <v>6164</v>
      </c>
      <c r="C6041" t="s">
        <v>8486</v>
      </c>
      <c r="D6041" s="8" t="s">
        <v>8487</v>
      </c>
    </row>
    <row r="6042" spans="1:4" x14ac:dyDescent="0.35">
      <c r="A6042" t="s">
        <v>8245</v>
      </c>
      <c r="B6042" s="8" t="s">
        <v>6164</v>
      </c>
      <c r="C6042" t="s">
        <v>8488</v>
      </c>
      <c r="D6042" s="8" t="s">
        <v>8489</v>
      </c>
    </row>
    <row r="6043" spans="1:4" x14ac:dyDescent="0.35">
      <c r="A6043" t="s">
        <v>8245</v>
      </c>
      <c r="B6043" s="8" t="s">
        <v>6164</v>
      </c>
      <c r="C6043" t="s">
        <v>8490</v>
      </c>
      <c r="D6043" s="8" t="s">
        <v>8491</v>
      </c>
    </row>
    <row r="6044" spans="1:4" ht="29" x14ac:dyDescent="0.35">
      <c r="A6044" t="s">
        <v>8245</v>
      </c>
      <c r="B6044" s="8" t="s">
        <v>6164</v>
      </c>
      <c r="C6044" t="s">
        <v>8492</v>
      </c>
      <c r="D6044" s="8" t="s">
        <v>8493</v>
      </c>
    </row>
    <row r="6045" spans="1:4" x14ac:dyDescent="0.35">
      <c r="A6045" t="s">
        <v>8245</v>
      </c>
      <c r="B6045" s="8" t="s">
        <v>6164</v>
      </c>
      <c r="C6045" t="s">
        <v>8494</v>
      </c>
      <c r="D6045" s="8" t="s">
        <v>8495</v>
      </c>
    </row>
    <row r="6046" spans="1:4" x14ac:dyDescent="0.35">
      <c r="A6046" t="s">
        <v>8245</v>
      </c>
      <c r="B6046" s="8" t="s">
        <v>6164</v>
      </c>
      <c r="C6046" t="s">
        <v>8496</v>
      </c>
      <c r="D6046" s="8" t="s">
        <v>8497</v>
      </c>
    </row>
    <row r="6047" spans="1:4" x14ac:dyDescent="0.35">
      <c r="A6047" t="s">
        <v>8245</v>
      </c>
      <c r="B6047" s="8" t="s">
        <v>6164</v>
      </c>
      <c r="C6047" t="s">
        <v>8498</v>
      </c>
      <c r="D6047" s="8" t="s">
        <v>8499</v>
      </c>
    </row>
    <row r="6048" spans="1:4" x14ac:dyDescent="0.35">
      <c r="A6048" t="s">
        <v>8245</v>
      </c>
      <c r="B6048" s="8" t="s">
        <v>6164</v>
      </c>
      <c r="C6048" t="s">
        <v>8500</v>
      </c>
      <c r="D6048" s="8" t="s">
        <v>8501</v>
      </c>
    </row>
    <row r="6049" spans="1:4" x14ac:dyDescent="0.35">
      <c r="A6049" t="s">
        <v>8245</v>
      </c>
      <c r="B6049" s="8" t="s">
        <v>6164</v>
      </c>
      <c r="C6049" t="s">
        <v>8502</v>
      </c>
      <c r="D6049" s="8" t="s">
        <v>8503</v>
      </c>
    </row>
    <row r="6050" spans="1:4" x14ac:dyDescent="0.35">
      <c r="A6050" t="s">
        <v>8245</v>
      </c>
      <c r="B6050" s="8" t="s">
        <v>6164</v>
      </c>
      <c r="C6050" t="s">
        <v>8504</v>
      </c>
      <c r="D6050" s="8" t="s">
        <v>8505</v>
      </c>
    </row>
    <row r="6051" spans="1:4" x14ac:dyDescent="0.35">
      <c r="A6051" t="s">
        <v>8245</v>
      </c>
      <c r="B6051" s="8" t="s">
        <v>6164</v>
      </c>
      <c r="C6051" t="s">
        <v>8506</v>
      </c>
      <c r="D6051" s="8" t="s">
        <v>8507</v>
      </c>
    </row>
    <row r="6052" spans="1:4" x14ac:dyDescent="0.35">
      <c r="A6052" t="s">
        <v>8245</v>
      </c>
      <c r="B6052" s="8" t="s">
        <v>6164</v>
      </c>
      <c r="C6052" t="s">
        <v>8508</v>
      </c>
      <c r="D6052" s="8" t="s">
        <v>8509</v>
      </c>
    </row>
    <row r="6053" spans="1:4" x14ac:dyDescent="0.35">
      <c r="A6053" t="s">
        <v>8245</v>
      </c>
      <c r="B6053" s="8" t="s">
        <v>6164</v>
      </c>
      <c r="C6053" t="s">
        <v>8510</v>
      </c>
      <c r="D6053" s="8" t="s">
        <v>8511</v>
      </c>
    </row>
    <row r="6054" spans="1:4" x14ac:dyDescent="0.35">
      <c r="A6054" t="s">
        <v>8245</v>
      </c>
      <c r="B6054" s="8" t="s">
        <v>6164</v>
      </c>
      <c r="C6054" t="s">
        <v>8512</v>
      </c>
      <c r="D6054" s="8" t="s">
        <v>8513</v>
      </c>
    </row>
    <row r="6055" spans="1:4" x14ac:dyDescent="0.35">
      <c r="A6055" t="s">
        <v>8245</v>
      </c>
      <c r="B6055" s="8" t="s">
        <v>6164</v>
      </c>
      <c r="C6055" t="s">
        <v>8514</v>
      </c>
      <c r="D6055" s="8" t="s">
        <v>8515</v>
      </c>
    </row>
    <row r="6056" spans="1:4" x14ac:dyDescent="0.35">
      <c r="A6056" t="s">
        <v>8245</v>
      </c>
      <c r="B6056" s="8" t="s">
        <v>6164</v>
      </c>
      <c r="C6056" t="s">
        <v>8516</v>
      </c>
      <c r="D6056" s="8" t="s">
        <v>8517</v>
      </c>
    </row>
    <row r="6057" spans="1:4" x14ac:dyDescent="0.35">
      <c r="A6057" t="s">
        <v>8245</v>
      </c>
      <c r="B6057" s="8" t="s">
        <v>6164</v>
      </c>
      <c r="C6057" t="s">
        <v>8518</v>
      </c>
      <c r="D6057" s="8" t="s">
        <v>8519</v>
      </c>
    </row>
    <row r="6058" spans="1:4" x14ac:dyDescent="0.35">
      <c r="A6058" t="s">
        <v>8245</v>
      </c>
      <c r="B6058" s="8" t="s">
        <v>6164</v>
      </c>
      <c r="C6058" t="s">
        <v>8520</v>
      </c>
      <c r="D6058" s="8" t="s">
        <v>8521</v>
      </c>
    </row>
    <row r="6059" spans="1:4" x14ac:dyDescent="0.35">
      <c r="A6059" t="s">
        <v>8245</v>
      </c>
      <c r="B6059" s="8" t="s">
        <v>6164</v>
      </c>
      <c r="C6059" t="s">
        <v>8522</v>
      </c>
      <c r="D6059" s="8" t="s">
        <v>8523</v>
      </c>
    </row>
    <row r="6060" spans="1:4" x14ac:dyDescent="0.35">
      <c r="A6060" t="s">
        <v>8245</v>
      </c>
      <c r="B6060" s="8" t="s">
        <v>6164</v>
      </c>
      <c r="C6060" t="s">
        <v>8524</v>
      </c>
      <c r="D6060" s="8" t="s">
        <v>8525</v>
      </c>
    </row>
    <row r="6061" spans="1:4" x14ac:dyDescent="0.35">
      <c r="A6061" t="s">
        <v>8245</v>
      </c>
      <c r="B6061" s="8" t="s">
        <v>6164</v>
      </c>
      <c r="C6061" t="s">
        <v>8526</v>
      </c>
      <c r="D6061" s="8" t="s">
        <v>8527</v>
      </c>
    </row>
    <row r="6062" spans="1:4" x14ac:dyDescent="0.35">
      <c r="A6062" t="s">
        <v>8245</v>
      </c>
      <c r="B6062" s="8" t="s">
        <v>6164</v>
      </c>
      <c r="C6062" t="s">
        <v>8528</v>
      </c>
      <c r="D6062" s="8" t="s">
        <v>8529</v>
      </c>
    </row>
    <row r="6063" spans="1:4" x14ac:dyDescent="0.35">
      <c r="A6063" t="s">
        <v>8245</v>
      </c>
      <c r="B6063" s="8" t="s">
        <v>6164</v>
      </c>
      <c r="C6063" t="s">
        <v>8530</v>
      </c>
      <c r="D6063" s="8" t="s">
        <v>8531</v>
      </c>
    </row>
    <row r="6064" spans="1:4" x14ac:dyDescent="0.35">
      <c r="A6064" t="s">
        <v>8245</v>
      </c>
      <c r="B6064" s="8" t="s">
        <v>6164</v>
      </c>
      <c r="C6064" t="s">
        <v>8532</v>
      </c>
      <c r="D6064" s="8" t="s">
        <v>8533</v>
      </c>
    </row>
    <row r="6065" spans="1:4" x14ac:dyDescent="0.35">
      <c r="A6065" t="s">
        <v>8245</v>
      </c>
      <c r="B6065" s="8" t="s">
        <v>6164</v>
      </c>
      <c r="C6065" t="s">
        <v>8534</v>
      </c>
      <c r="D6065" s="8" t="s">
        <v>8535</v>
      </c>
    </row>
    <row r="6066" spans="1:4" x14ac:dyDescent="0.35">
      <c r="A6066" t="s">
        <v>8245</v>
      </c>
      <c r="B6066" s="8" t="s">
        <v>6164</v>
      </c>
      <c r="C6066" t="s">
        <v>8536</v>
      </c>
      <c r="D6066" s="8" t="s">
        <v>8537</v>
      </c>
    </row>
    <row r="6067" spans="1:4" x14ac:dyDescent="0.35">
      <c r="A6067" t="s">
        <v>8245</v>
      </c>
      <c r="B6067" s="8" t="s">
        <v>6164</v>
      </c>
      <c r="C6067" t="s">
        <v>8538</v>
      </c>
      <c r="D6067" s="8" t="s">
        <v>8539</v>
      </c>
    </row>
    <row r="6068" spans="1:4" x14ac:dyDescent="0.35">
      <c r="A6068" t="s">
        <v>8245</v>
      </c>
      <c r="B6068" s="8" t="s">
        <v>6164</v>
      </c>
      <c r="C6068" t="s">
        <v>8540</v>
      </c>
      <c r="D6068" s="8" t="s">
        <v>8541</v>
      </c>
    </row>
    <row r="6069" spans="1:4" x14ac:dyDescent="0.35">
      <c r="A6069" t="s">
        <v>8245</v>
      </c>
      <c r="B6069" s="8" t="s">
        <v>6164</v>
      </c>
      <c r="C6069" t="s">
        <v>8542</v>
      </c>
      <c r="D6069" s="8" t="s">
        <v>8543</v>
      </c>
    </row>
    <row r="6070" spans="1:4" x14ac:dyDescent="0.35">
      <c r="A6070" t="s">
        <v>8245</v>
      </c>
      <c r="B6070" s="8" t="s">
        <v>6164</v>
      </c>
      <c r="C6070" t="s">
        <v>8544</v>
      </c>
      <c r="D6070" s="8" t="s">
        <v>8545</v>
      </c>
    </row>
    <row r="6071" spans="1:4" x14ac:dyDescent="0.35">
      <c r="A6071" t="s">
        <v>8245</v>
      </c>
      <c r="B6071" s="8" t="s">
        <v>6164</v>
      </c>
      <c r="C6071" t="s">
        <v>8546</v>
      </c>
      <c r="D6071" s="8" t="s">
        <v>8547</v>
      </c>
    </row>
    <row r="6072" spans="1:4" x14ac:dyDescent="0.35">
      <c r="A6072" t="s">
        <v>8245</v>
      </c>
      <c r="B6072" s="8" t="s">
        <v>6164</v>
      </c>
      <c r="C6072" t="s">
        <v>8548</v>
      </c>
      <c r="D6072" s="8" t="s">
        <v>8549</v>
      </c>
    </row>
    <row r="6073" spans="1:4" x14ac:dyDescent="0.35">
      <c r="A6073" t="s">
        <v>8245</v>
      </c>
      <c r="B6073" s="8" t="s">
        <v>6164</v>
      </c>
      <c r="C6073" t="s">
        <v>8550</v>
      </c>
      <c r="D6073" s="8" t="s">
        <v>8551</v>
      </c>
    </row>
    <row r="6074" spans="1:4" x14ac:dyDescent="0.35">
      <c r="A6074" t="s">
        <v>8245</v>
      </c>
      <c r="B6074" s="8" t="s">
        <v>6164</v>
      </c>
      <c r="C6074" t="s">
        <v>8552</v>
      </c>
      <c r="D6074" s="8" t="s">
        <v>8553</v>
      </c>
    </row>
    <row r="6075" spans="1:4" x14ac:dyDescent="0.35">
      <c r="A6075" t="s">
        <v>8245</v>
      </c>
      <c r="B6075" s="8" t="s">
        <v>6164</v>
      </c>
      <c r="C6075" t="s">
        <v>8554</v>
      </c>
      <c r="D6075" s="8" t="s">
        <v>8555</v>
      </c>
    </row>
    <row r="6076" spans="1:4" x14ac:dyDescent="0.35">
      <c r="A6076" t="s">
        <v>8245</v>
      </c>
      <c r="B6076" s="8" t="s">
        <v>6164</v>
      </c>
      <c r="C6076" t="s">
        <v>8556</v>
      </c>
      <c r="D6076" s="8" t="s">
        <v>8557</v>
      </c>
    </row>
    <row r="6077" spans="1:4" x14ac:dyDescent="0.35">
      <c r="A6077" t="s">
        <v>8245</v>
      </c>
      <c r="B6077" s="8" t="s">
        <v>6164</v>
      </c>
      <c r="C6077" t="s">
        <v>8558</v>
      </c>
      <c r="D6077" s="8" t="s">
        <v>8559</v>
      </c>
    </row>
    <row r="6078" spans="1:4" x14ac:dyDescent="0.35">
      <c r="A6078" t="s">
        <v>8245</v>
      </c>
      <c r="B6078" s="8" t="s">
        <v>6164</v>
      </c>
      <c r="C6078" t="s">
        <v>8560</v>
      </c>
      <c r="D6078" s="8" t="s">
        <v>8561</v>
      </c>
    </row>
    <row r="6079" spans="1:4" x14ac:dyDescent="0.35">
      <c r="A6079" t="s">
        <v>8245</v>
      </c>
      <c r="B6079" s="8" t="s">
        <v>6164</v>
      </c>
      <c r="C6079" t="s">
        <v>8562</v>
      </c>
      <c r="D6079" s="8" t="s">
        <v>8563</v>
      </c>
    </row>
    <row r="6080" spans="1:4" x14ac:dyDescent="0.35">
      <c r="A6080" t="s">
        <v>8245</v>
      </c>
      <c r="B6080" s="8" t="s">
        <v>6164</v>
      </c>
      <c r="C6080" t="s">
        <v>8564</v>
      </c>
      <c r="D6080" s="8" t="s">
        <v>8565</v>
      </c>
    </row>
    <row r="6081" spans="1:4" x14ac:dyDescent="0.35">
      <c r="A6081" t="s">
        <v>8245</v>
      </c>
      <c r="B6081" s="8" t="s">
        <v>6164</v>
      </c>
      <c r="C6081" t="s">
        <v>8566</v>
      </c>
      <c r="D6081" s="8" t="s">
        <v>8567</v>
      </c>
    </row>
    <row r="6082" spans="1:4" x14ac:dyDescent="0.35">
      <c r="A6082" t="s">
        <v>8245</v>
      </c>
      <c r="B6082" s="8" t="s">
        <v>6164</v>
      </c>
      <c r="C6082" t="s">
        <v>8568</v>
      </c>
      <c r="D6082" s="8" t="s">
        <v>8569</v>
      </c>
    </row>
    <row r="6083" spans="1:4" x14ac:dyDescent="0.35">
      <c r="A6083" t="s">
        <v>8245</v>
      </c>
      <c r="B6083" s="8" t="s">
        <v>6164</v>
      </c>
      <c r="C6083" t="s">
        <v>8570</v>
      </c>
      <c r="D6083" s="8" t="s">
        <v>8571</v>
      </c>
    </row>
    <row r="6084" spans="1:4" x14ac:dyDescent="0.35">
      <c r="A6084" t="s">
        <v>8245</v>
      </c>
      <c r="B6084" s="8" t="s">
        <v>6164</v>
      </c>
      <c r="C6084" t="s">
        <v>8572</v>
      </c>
      <c r="D6084" s="8" t="s">
        <v>8573</v>
      </c>
    </row>
    <row r="6085" spans="1:4" x14ac:dyDescent="0.35">
      <c r="A6085" t="s">
        <v>8245</v>
      </c>
      <c r="B6085" s="8" t="s">
        <v>6164</v>
      </c>
      <c r="C6085" t="s">
        <v>8574</v>
      </c>
      <c r="D6085" s="8" t="s">
        <v>8575</v>
      </c>
    </row>
    <row r="6086" spans="1:4" x14ac:dyDescent="0.35">
      <c r="A6086" t="s">
        <v>8245</v>
      </c>
      <c r="B6086" s="8" t="s">
        <v>6164</v>
      </c>
      <c r="C6086" t="s">
        <v>8576</v>
      </c>
      <c r="D6086" s="8" t="s">
        <v>8577</v>
      </c>
    </row>
    <row r="6087" spans="1:4" x14ac:dyDescent="0.35">
      <c r="A6087" t="s">
        <v>8245</v>
      </c>
      <c r="B6087" s="8" t="s">
        <v>6164</v>
      </c>
      <c r="C6087" t="s">
        <v>8578</v>
      </c>
      <c r="D6087" s="8" t="s">
        <v>8579</v>
      </c>
    </row>
    <row r="6088" spans="1:4" x14ac:dyDescent="0.35">
      <c r="A6088" t="s">
        <v>8245</v>
      </c>
      <c r="B6088" s="8" t="s">
        <v>6164</v>
      </c>
      <c r="C6088" t="s">
        <v>8580</v>
      </c>
      <c r="D6088" s="8" t="s">
        <v>8581</v>
      </c>
    </row>
    <row r="6089" spans="1:4" x14ac:dyDescent="0.35">
      <c r="A6089" t="s">
        <v>8245</v>
      </c>
      <c r="B6089" s="8" t="s">
        <v>6164</v>
      </c>
      <c r="C6089" t="s">
        <v>8582</v>
      </c>
      <c r="D6089" s="8" t="s">
        <v>8583</v>
      </c>
    </row>
    <row r="6090" spans="1:4" x14ac:dyDescent="0.35">
      <c r="A6090" t="s">
        <v>8245</v>
      </c>
      <c r="B6090" s="8" t="s">
        <v>6164</v>
      </c>
      <c r="C6090" t="s">
        <v>8584</v>
      </c>
      <c r="D6090" s="8" t="s">
        <v>8585</v>
      </c>
    </row>
    <row r="6091" spans="1:4" x14ac:dyDescent="0.35">
      <c r="A6091" t="s">
        <v>8245</v>
      </c>
      <c r="B6091" s="8" t="s">
        <v>6164</v>
      </c>
      <c r="C6091" t="s">
        <v>8586</v>
      </c>
      <c r="D6091" s="8" t="s">
        <v>8587</v>
      </c>
    </row>
    <row r="6092" spans="1:4" x14ac:dyDescent="0.35">
      <c r="A6092" t="s">
        <v>8245</v>
      </c>
      <c r="B6092" s="8" t="s">
        <v>6164</v>
      </c>
      <c r="C6092" t="s">
        <v>8588</v>
      </c>
      <c r="D6092" s="8" t="s">
        <v>8589</v>
      </c>
    </row>
    <row r="6093" spans="1:4" x14ac:dyDescent="0.35">
      <c r="A6093" t="s">
        <v>8245</v>
      </c>
      <c r="B6093" s="8" t="s">
        <v>6164</v>
      </c>
      <c r="C6093" t="s">
        <v>8590</v>
      </c>
      <c r="D6093" s="8" t="s">
        <v>8591</v>
      </c>
    </row>
    <row r="6094" spans="1:4" x14ac:dyDescent="0.35">
      <c r="A6094" t="s">
        <v>8245</v>
      </c>
      <c r="B6094" s="8" t="s">
        <v>6164</v>
      </c>
      <c r="C6094" t="s">
        <v>8592</v>
      </c>
      <c r="D6094" s="8" t="s">
        <v>8593</v>
      </c>
    </row>
    <row r="6095" spans="1:4" x14ac:dyDescent="0.35">
      <c r="A6095" t="s">
        <v>8245</v>
      </c>
      <c r="B6095" s="8" t="s">
        <v>6164</v>
      </c>
      <c r="C6095" t="s">
        <v>8594</v>
      </c>
      <c r="D6095" s="8" t="s">
        <v>8595</v>
      </c>
    </row>
    <row r="6096" spans="1:4" x14ac:dyDescent="0.35">
      <c r="A6096" t="s">
        <v>8245</v>
      </c>
      <c r="B6096" s="8" t="s">
        <v>6164</v>
      </c>
      <c r="C6096" t="s">
        <v>8596</v>
      </c>
      <c r="D6096" s="8" t="s">
        <v>8597</v>
      </c>
    </row>
    <row r="6097" spans="1:4" x14ac:dyDescent="0.35">
      <c r="A6097" t="s">
        <v>8245</v>
      </c>
      <c r="B6097" s="8" t="s">
        <v>6164</v>
      </c>
      <c r="C6097" t="s">
        <v>8598</v>
      </c>
      <c r="D6097" s="8" t="s">
        <v>8599</v>
      </c>
    </row>
    <row r="6098" spans="1:4" x14ac:dyDescent="0.35">
      <c r="A6098" t="s">
        <v>8245</v>
      </c>
      <c r="B6098" s="8" t="s">
        <v>6164</v>
      </c>
      <c r="C6098" t="s">
        <v>8600</v>
      </c>
      <c r="D6098" s="8" t="s">
        <v>8601</v>
      </c>
    </row>
    <row r="6099" spans="1:4" x14ac:dyDescent="0.35">
      <c r="A6099" t="s">
        <v>8245</v>
      </c>
      <c r="B6099" s="8" t="s">
        <v>6164</v>
      </c>
      <c r="C6099" t="s">
        <v>8602</v>
      </c>
      <c r="D6099" s="8" t="s">
        <v>8603</v>
      </c>
    </row>
    <row r="6100" spans="1:4" x14ac:dyDescent="0.35">
      <c r="A6100" t="s">
        <v>8245</v>
      </c>
      <c r="B6100" s="8" t="s">
        <v>6164</v>
      </c>
      <c r="C6100" t="s">
        <v>8604</v>
      </c>
      <c r="D6100" s="8" t="s">
        <v>8605</v>
      </c>
    </row>
  </sheetData>
  <autoFilter ref="A3:D6100" xr:uid="{00000000-0009-0000-0000-000004000000}"/>
  <hyperlinks>
    <hyperlink ref="A1" r:id="rId1" xr:uid="{00000000-0004-0000-04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0912590E04EF47ACF9EA3016E815AA" ma:contentTypeVersion="4" ma:contentTypeDescription="Create a new document." ma:contentTypeScope="" ma:versionID="a0adcda7bb54c6fa961c5da746f6a478">
  <xsd:schema xmlns:xsd="http://www.w3.org/2001/XMLSchema" xmlns:xs="http://www.w3.org/2001/XMLSchema" xmlns:p="http://schemas.microsoft.com/office/2006/metadata/properties" xmlns:ns2="28dc3964-8ca1-4701-af25-5040231d6c42" targetNamespace="http://schemas.microsoft.com/office/2006/metadata/properties" ma:root="true" ma:fieldsID="35cfec12234c5e074780725a781b2936" ns2:_="">
    <xsd:import namespace="28dc3964-8ca1-4701-af25-5040231d6c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c3964-8ca1-4701-af25-5040231d6c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A4168-E147-43E6-877E-B642ECF5CB2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36A93A-7C0F-4654-B6CB-AAD51DD0A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c3964-8ca1-4701-af25-5040231d6c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940779-A4AD-4EC6-A0FB-274791023A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Bacc CIP Code Survey</vt:lpstr>
      <vt:lpstr>CIP 2010 and CIP 2020 Crosswalk</vt:lpstr>
      <vt:lpstr>Lists for Data Validation</vt:lpstr>
      <vt:lpstr>CIP 2020 to SOC 2018 Crosswalk</vt:lpstr>
      <vt:lpstr>'Bacc CIP Code Survey'!College</vt:lpstr>
      <vt:lpstr>'Bacc CIP Code Survey'!Print_Area</vt:lpstr>
      <vt:lpstr>'Bacc CIP Code Survey'!Program_Title</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carla.campbell</dc:creator>
  <cp:keywords/>
  <dc:description/>
  <cp:lastModifiedBy>Carrie Henderson</cp:lastModifiedBy>
  <cp:revision/>
  <dcterms:created xsi:type="dcterms:W3CDTF">2011-06-20T18:46:07Z</dcterms:created>
  <dcterms:modified xsi:type="dcterms:W3CDTF">2020-07-31T19:25:10Z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0x010100960912590E04EF47ACF9EA3016E815AA</vt:lpwstr>
  </property>
</Properties>
</file>