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DA4C1974-3052-554B-A22C-1353F4F2A0FF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</sheets>
  <definedNames>
    <definedName name="_xlnm._FilterDatabase" localSheetId="0" hidden="1">Sheet1!$A$9:$I$72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I20" i="1" l="1"/>
  <c r="I21" i="1"/>
  <c r="I22" i="1"/>
  <c r="I23" i="1"/>
  <c r="I24" i="1"/>
  <c r="I25" i="1"/>
  <c r="I27" i="1"/>
  <c r="I28" i="1"/>
  <c r="I33" i="1"/>
  <c r="I34" i="1"/>
  <c r="I39" i="1"/>
  <c r="I41" i="1"/>
  <c r="I43" i="1"/>
  <c r="G30" i="1" l="1"/>
  <c r="H30" i="1"/>
  <c r="H26" i="1"/>
  <c r="G26" i="1"/>
  <c r="I26" i="1" s="1"/>
  <c r="G16" i="1"/>
  <c r="H16" i="1"/>
  <c r="H12" i="1"/>
  <c r="H13" i="1"/>
  <c r="G14" i="1"/>
  <c r="H14" i="1"/>
  <c r="G15" i="1"/>
  <c r="H15" i="1"/>
  <c r="G11" i="1"/>
  <c r="I11" i="1" s="1"/>
  <c r="H11" i="1"/>
  <c r="G49" i="1"/>
  <c r="H49" i="1"/>
  <c r="G47" i="1"/>
  <c r="H47" i="1"/>
  <c r="G45" i="1"/>
  <c r="H45" i="1"/>
  <c r="G71" i="1"/>
  <c r="H71" i="1"/>
  <c r="H68" i="1"/>
  <c r="G68" i="1"/>
  <c r="I68" i="1" s="1"/>
  <c r="G62" i="1"/>
  <c r="H62" i="1"/>
  <c r="G55" i="1"/>
  <c r="I55" i="1" s="1"/>
  <c r="H55" i="1"/>
  <c r="G44" i="1"/>
  <c r="H44" i="1"/>
  <c r="I49" i="1" l="1"/>
  <c r="I44" i="1"/>
  <c r="I15" i="1"/>
  <c r="I71" i="1"/>
  <c r="I16" i="1"/>
  <c r="I45" i="1"/>
  <c r="I62" i="1"/>
  <c r="I47" i="1"/>
  <c r="I14" i="1"/>
  <c r="I30" i="1"/>
  <c r="H69" i="1"/>
  <c r="G36" i="1" l="1"/>
  <c r="I36" i="1" s="1"/>
  <c r="G70" i="1"/>
  <c r="H70" i="1"/>
  <c r="G69" i="1"/>
  <c r="I69" i="1" s="1"/>
  <c r="G67" i="1"/>
  <c r="I67" i="1" s="1"/>
  <c r="H67" i="1"/>
  <c r="G66" i="1"/>
  <c r="I66" i="1" s="1"/>
  <c r="G65" i="1"/>
  <c r="I65" i="1" s="1"/>
  <c r="G64" i="1"/>
  <c r="I64" i="1" s="1"/>
  <c r="G63" i="1"/>
  <c r="I63" i="1" s="1"/>
  <c r="G61" i="1"/>
  <c r="I61" i="1" s="1"/>
  <c r="G60" i="1"/>
  <c r="H60" i="1"/>
  <c r="G59" i="1"/>
  <c r="H59" i="1"/>
  <c r="G58" i="1"/>
  <c r="I58" i="1" s="1"/>
  <c r="H58" i="1"/>
  <c r="G57" i="1"/>
  <c r="H57" i="1"/>
  <c r="G56" i="1"/>
  <c r="H56" i="1"/>
  <c r="G54" i="1"/>
  <c r="H54" i="1"/>
  <c r="G53" i="1"/>
  <c r="I53" i="1" s="1"/>
  <c r="H53" i="1"/>
  <c r="H52" i="1"/>
  <c r="I52" i="1" s="1"/>
  <c r="H51" i="1"/>
  <c r="I51" i="1" s="1"/>
  <c r="G50" i="1"/>
  <c r="H50" i="1"/>
  <c r="H48" i="1"/>
  <c r="I48" i="1" s="1"/>
  <c r="H46" i="1"/>
  <c r="I46" i="1" s="1"/>
  <c r="G42" i="1"/>
  <c r="I42" i="1" s="1"/>
  <c r="G40" i="1"/>
  <c r="H40" i="1"/>
  <c r="G38" i="1"/>
  <c r="I38" i="1" s="1"/>
  <c r="G37" i="1"/>
  <c r="I37" i="1" s="1"/>
  <c r="G35" i="1"/>
  <c r="I35" i="1" s="1"/>
  <c r="H35" i="1"/>
  <c r="G32" i="1"/>
  <c r="H32" i="1"/>
  <c r="G31" i="1"/>
  <c r="H31" i="1"/>
  <c r="G29" i="1"/>
  <c r="I29" i="1" s="1"/>
  <c r="G19" i="1"/>
  <c r="H19" i="1"/>
  <c r="G18" i="1"/>
  <c r="H18" i="1"/>
  <c r="G17" i="1"/>
  <c r="I17" i="1" s="1"/>
  <c r="H17" i="1"/>
  <c r="G13" i="1"/>
  <c r="I13" i="1" s="1"/>
  <c r="G12" i="1"/>
  <c r="I12" i="1" s="1"/>
  <c r="G10" i="1"/>
  <c r="I10" i="1" s="1"/>
  <c r="I18" i="1" l="1"/>
  <c r="I54" i="1"/>
  <c r="I59" i="1"/>
  <c r="I56" i="1"/>
  <c r="I32" i="1"/>
  <c r="I57" i="1"/>
  <c r="I70" i="1"/>
  <c r="I19" i="1"/>
  <c r="I50" i="1"/>
  <c r="I60" i="1"/>
  <c r="I31" i="1"/>
  <c r="I40" i="1"/>
  <c r="H72" i="1"/>
  <c r="G72" i="1"/>
  <c r="I72" i="1" l="1"/>
</calcChain>
</file>

<file path=xl/sharedStrings.xml><?xml version="1.0" encoding="utf-8"?>
<sst xmlns="http://schemas.openxmlformats.org/spreadsheetml/2006/main" count="114" uniqueCount="98">
  <si>
    <t>Function</t>
  </si>
  <si>
    <t>Object</t>
  </si>
  <si>
    <t xml:space="preserve">Account Title </t>
  </si>
  <si>
    <t>FLORIDA DEPARTMENT OF EDUCATION</t>
  </si>
  <si>
    <t>FTE 
Position</t>
  </si>
  <si>
    <t>B) ________________________
     Project Number</t>
  </si>
  <si>
    <t xml:space="preserve">Use of 
Funds
Number**  </t>
  </si>
  <si>
    <t>Activity
Number**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</si>
  <si>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</si>
  <si>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</si>
  <si>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</si>
  <si>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</si>
  <si>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TAPS Number 
22A-175</t>
  </si>
  <si>
    <t xml:space="preserve">A)Washington County School  District____________________
     Name of Eligible Recipient </t>
  </si>
  <si>
    <t>Instructional Coach Contract 1 year</t>
  </si>
  <si>
    <t>Workers Compensation: Testing Coordinator @ 1% x3</t>
  </si>
  <si>
    <t>Teachers to provide tutoring in extended day programs and summer learning and enrichment programs @ $30.00 hourly</t>
  </si>
  <si>
    <t xml:space="preserve">Retirement Benefits: Teachers working afterschool programs and summer learning programs @ 11% </t>
  </si>
  <si>
    <t>Social Security: Teachers working afterschool programs and summer learning programs @ 7.65%</t>
  </si>
  <si>
    <t xml:space="preserve"> Teachers at   Wave to work the extended day learning programs and summer learning programs @ $30.00 hourly</t>
  </si>
  <si>
    <t xml:space="preserve">Retirement Benefits: Teachers  and Paraprofessionals to work afterschool programs and summer learning programs @ 11% </t>
  </si>
  <si>
    <t>Social Security: Teachers and paraprofessionals to work afterschool programs and summer learning programs @ 7.65%</t>
  </si>
  <si>
    <t>Aids: Paraprofessionals to work  at $17.50 hourly to provide assistance with small group instructional activities for the students enrolled in the Academic Acceleration programs</t>
  </si>
  <si>
    <t>Pre-k Teachers to work summer learning Transition Programs @ 17.50 hourly</t>
  </si>
  <si>
    <t>Supplemental Textbook and workbooks for Math courses for to support learning loss for all students  taking  Math courses alligned with the new Math Best Standards.</t>
  </si>
  <si>
    <t>Other Materials and Supplies: Purchase Consumable supplies  to support learning loss and to accelerate and elevate learning loss across the curriculum</t>
  </si>
  <si>
    <t>Social Security Benefits: Paraprofessionals X4 ( 3years) 7.65%</t>
  </si>
  <si>
    <t>Retirement Benefits: Paraprofessionals x 4 ( 3 years) 11%</t>
  </si>
  <si>
    <t>Group Health Insurance: 4 Paraprofessionals @ 5,600 x 3</t>
  </si>
  <si>
    <t>Workers Compensation Benefits: 4 Paraprofessionals @ 1%  x 3 years  1%</t>
  </si>
  <si>
    <t>Aids: Salaries for Paraprofessionals x4 ( 3 years)</t>
  </si>
  <si>
    <t>College and Career Readiness: Cover school trip expenses to taking trips to college campus</t>
  </si>
  <si>
    <t>Bus Drivers to provide transporatation for all extended day learning programs and field trips</t>
  </si>
  <si>
    <t>Retirement Benefits: Bus Drivers providing transportation for all extended day learning programs and field trips</t>
  </si>
  <si>
    <t>Social Security: Bus Drivers providing transportation for all extended day  learning programs and field trips</t>
  </si>
  <si>
    <t>2B</t>
  </si>
  <si>
    <t>Handicapp Accessible Vans x2 for students with disabilities to participate in extended day learning and summer learning programs</t>
  </si>
  <si>
    <t>2D</t>
  </si>
  <si>
    <t>2d</t>
  </si>
  <si>
    <t>Supplies for CTE Programs:</t>
  </si>
  <si>
    <t>Criminal Justice Instructor 20,000 x3 Contract</t>
  </si>
  <si>
    <t>Workers Compensation: Early Childhood Instructors 1%</t>
  </si>
  <si>
    <t>Retirement Early Childhood Instructor: 11%</t>
  </si>
  <si>
    <t>Social Securit Benefits: Early Childhood Instructor: 7.65%</t>
  </si>
  <si>
    <t>ppe Materials for all schools in LEA</t>
  </si>
  <si>
    <t>2E</t>
  </si>
  <si>
    <t>2F</t>
  </si>
  <si>
    <t>Salary of District Social Worker:  62,000 ( if Licensed)</t>
  </si>
  <si>
    <t>Retirement Benefits: District Social Worker @11%</t>
  </si>
  <si>
    <t>Workers Compensenation: District Social Worker 1%</t>
  </si>
  <si>
    <t>Group Health: District Social Worker $5,600</t>
  </si>
  <si>
    <t>Social Security Benefits: District Social Worker 7.65%</t>
  </si>
  <si>
    <t>2f</t>
  </si>
  <si>
    <t>2J</t>
  </si>
  <si>
    <t>2k</t>
  </si>
  <si>
    <t xml:space="preserve">Generator to maintain connectivity to internet services </t>
  </si>
  <si>
    <t>Assistive Technology Expenses for students with disabilities</t>
  </si>
  <si>
    <t>2L</t>
  </si>
  <si>
    <t>Mental Health Assessments and Supports</t>
  </si>
  <si>
    <t>Social Security: 7.65%</t>
  </si>
  <si>
    <t>Retirement- 11%</t>
  </si>
  <si>
    <t>workers  compensation: -1%</t>
  </si>
  <si>
    <t>2G</t>
  </si>
  <si>
    <t>Outdoor Play Equipment for all Elementary Schools and Proposed VPK Centers</t>
  </si>
  <si>
    <t>590/510</t>
  </si>
  <si>
    <t>Planning  of Implementation of Summer Programs  Teachers ( Stipends) 17.50</t>
  </si>
  <si>
    <t>2M</t>
  </si>
  <si>
    <t>2N</t>
  </si>
  <si>
    <t>2P</t>
  </si>
  <si>
    <t>The LEA proposes to allocate funding to improve the indoor quality of all facilities by replacing HVAC systems</t>
  </si>
  <si>
    <t>2R</t>
  </si>
  <si>
    <t>5100/5200/5500/6120/6130/6140/6200/6300/6500/7200/7300/7500/7600/7700/7800/7900/8100/8200</t>
  </si>
  <si>
    <t>7500/2200</t>
  </si>
  <si>
    <t>COVID Premium Payments for all faculty and staff and Social Security Benefits</t>
  </si>
  <si>
    <t>2S</t>
  </si>
  <si>
    <t>Indirect Cost: 5%</t>
  </si>
  <si>
    <t>2O</t>
  </si>
  <si>
    <t>New Construction: Proposed VPK  Centers for Chipley and Vernon ( Only Service Provider)</t>
  </si>
  <si>
    <t>Purchase High Quality  Digital Assessments</t>
  </si>
  <si>
    <t>Jet Pack Expenses: monthly 1000</t>
  </si>
  <si>
    <t>consumable books for students (Elementary, Middle, and High)</t>
  </si>
  <si>
    <t>5100/6200</t>
  </si>
  <si>
    <t>Group Health: Early Childhoods Instructor ( 5,600)</t>
  </si>
  <si>
    <t xml:space="preserve">CTE Secondary Program: Early ChildHood Instructor Salary:  2 years </t>
  </si>
  <si>
    <t xml:space="preserve">Staffing Specialist:  $45,000 </t>
  </si>
  <si>
    <t xml:space="preserve">Group Health: $5,600 </t>
  </si>
  <si>
    <t>Testing Coordinator Salary x 3 years 62,000</t>
  </si>
  <si>
    <t>Testing Coordinator : Social Security@ 7.65%x 3</t>
  </si>
  <si>
    <t>Retirement Benefits: Testing Coordinator @ 11% x3</t>
  </si>
  <si>
    <t>Group Health Insurance: Testing Coordinator @ 5,600 x 3</t>
  </si>
  <si>
    <t>Technology Rentals to supplement academic curriculum</t>
  </si>
  <si>
    <t>Social Security: Benefits for  Paraprofessionals at Wave @7.65%</t>
  </si>
  <si>
    <t>Social Security: teachers at   WAVE  to work the extended day learning programs and summer learning programs @ 7.65%</t>
  </si>
  <si>
    <t>Social Security: Teachers and Pre-K (Teachers) working afterschool programs and summer learning programs @ 7.65%</t>
  </si>
  <si>
    <t>220/150</t>
  </si>
  <si>
    <t xml:space="preserve">Supplies for CTE  Programs: </t>
  </si>
  <si>
    <t>2A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</si>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</sst>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0" fontId="3" fillId="4" borderId="0" xfId="0" applyFont="1" applyFill="1" applyBorder="1" applyAlignment="1">
      <alignment horizontal="right" vertical="center"/>
    </xf>
    <xf numFmtId="44" fontId="0" fillId="0" borderId="0" xfId="0" applyNumberFormat="1"/>
    <xf numFmtId="49" fontId="0" fillId="3" borderId="1" xfId="0" applyNumberFormat="1" applyFill="1" applyBorder="1" applyAlignment="1">
      <alignment horizontal="left" vertical="top" wrapText="1"/>
    </xf>
    <xf numFmtId="49" fontId="0" fillId="5" borderId="1" xfId="0" applyNumberForma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/>
    </xf>
    <xf numFmtId="44" fontId="0" fillId="0" borderId="0" xfId="1" applyFont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right" vertical="top"/>
    </xf>
    <xf numFmtId="164" fontId="0" fillId="5" borderId="1" xfId="1" applyNumberFormat="1" applyFont="1" applyFill="1" applyBorder="1" applyAlignment="1">
      <alignment horizontal="right" vertical="top"/>
    </xf>
    <xf numFmtId="164" fontId="0" fillId="5" borderId="1" xfId="1" applyNumberFormat="1" applyFont="1" applyFill="1" applyBorder="1"/>
    <xf numFmtId="164" fontId="0" fillId="5" borderId="1" xfId="1" applyNumberFormat="1" applyFont="1" applyFill="1" applyBorder="1" applyAlignment="1">
      <alignment horizontal="left" vertical="top"/>
    </xf>
    <xf numFmtId="164" fontId="0" fillId="5" borderId="1" xfId="1" applyNumberFormat="1" applyFont="1" applyFill="1" applyBorder="1" applyAlignment="1">
      <alignment vertical="top"/>
    </xf>
    <xf numFmtId="164" fontId="0" fillId="0" borderId="1" xfId="1" applyNumberFormat="1" applyFont="1" applyBorder="1" applyAlignment="1">
      <alignment horizontal="left" vertical="top"/>
    </xf>
    <xf numFmtId="164" fontId="0" fillId="4" borderId="1" xfId="1" applyNumberFormat="1" applyFont="1" applyFill="1" applyBorder="1" applyAlignment="1">
      <alignment horizontal="left" vertical="top"/>
    </xf>
    <xf numFmtId="164" fontId="0" fillId="4" borderId="1" xfId="1" applyNumberFormat="1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1" xfId="1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/>
    <xf numFmtId="164" fontId="7" fillId="0" borderId="1" xfId="1" applyNumberFormat="1" applyFont="1" applyBorder="1" applyAlignment="1"/>
    <xf numFmtId="164" fontId="0" fillId="0" borderId="1" xfId="1" applyNumberFormat="1" applyFont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3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33</xdr:row>
      <xdr:rowOff>191577</xdr:rowOff>
    </xdr:from>
    <xdr:to>
      <xdr:col>14</xdr:col>
      <xdr:colOff>474344</xdr:colOff>
      <xdr:row>36</xdr:row>
      <xdr:rowOff>139065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5925" y="9240327"/>
          <a:ext cx="1969769" cy="69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topLeftCell="C1" workbookViewId="0">
      <selection activeCell="I9" sqref="I9"/>
    </sheetView>
  </sheetViews>
  <sheetFormatPr baseColWidth="10" defaultColWidth="8.83203125" defaultRowHeight="15" x14ac:dyDescent="0.2"/>
  <cols>
    <col min="1" max="1" width="40" customWidth="1"/>
    <col min="2" max="2" width="28" customWidth="1"/>
    <col min="3" max="3" width="10.1640625" customWidth="1"/>
    <col min="4" max="4" width="9.5" bestFit="1" customWidth="1"/>
    <col min="5" max="5" width="112.1640625" customWidth="1"/>
    <col min="6" max="6" width="8.1640625" bestFit="1" customWidth="1"/>
    <col min="7" max="9" width="21.5" customWidth="1"/>
    <col min="11" max="11" width="14.6640625" bestFit="1" customWidth="1"/>
  </cols>
  <sheetData>
    <row r="1" spans="1:11" x14ac:dyDescent="0.2">
      <c r="A1" s="48" t="s">
        <v>13</v>
      </c>
      <c r="B1" s="49"/>
      <c r="C1" s="49"/>
      <c r="D1" s="49"/>
      <c r="H1" s="50" t="s">
        <v>12</v>
      </c>
      <c r="I1" s="51"/>
    </row>
    <row r="2" spans="1:11" x14ac:dyDescent="0.2">
      <c r="A2" s="49"/>
      <c r="B2" s="49"/>
      <c r="C2" s="49"/>
      <c r="D2" s="49"/>
      <c r="H2" s="51"/>
      <c r="I2" s="51"/>
    </row>
    <row r="3" spans="1:11" x14ac:dyDescent="0.2">
      <c r="A3" s="48" t="s">
        <v>5</v>
      </c>
      <c r="B3" s="49"/>
      <c r="C3" s="49"/>
      <c r="D3" s="49"/>
      <c r="H3" s="51"/>
      <c r="I3" s="51"/>
    </row>
    <row r="4" spans="1:11" x14ac:dyDescent="0.2">
      <c r="A4" s="49"/>
      <c r="B4" s="49"/>
      <c r="C4" s="49"/>
      <c r="D4" s="49"/>
    </row>
    <row r="6" spans="1:11" ht="23.25" customHeight="1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</row>
    <row r="7" spans="1:11" ht="23.25" customHeight="1" x14ac:dyDescent="0.25">
      <c r="A7" s="52" t="s">
        <v>11</v>
      </c>
      <c r="B7" s="52"/>
      <c r="C7" s="52"/>
      <c r="D7" s="52"/>
      <c r="E7" s="52"/>
      <c r="F7" s="52"/>
      <c r="G7" s="52"/>
      <c r="H7" s="52"/>
      <c r="I7" s="52"/>
    </row>
    <row r="9" spans="1:11" ht="43" x14ac:dyDescent="0.2">
      <c r="A9" s="1" t="s">
        <v>0</v>
      </c>
      <c r="B9" s="1" t="s">
        <v>1</v>
      </c>
      <c r="C9" s="2" t="s">
        <v>6</v>
      </c>
      <c r="D9" s="2" t="s">
        <v>7</v>
      </c>
      <c r="E9" s="1" t="s">
        <v>2</v>
      </c>
      <c r="F9" s="2" t="s">
        <v>4</v>
      </c>
      <c r="G9" s="2" t="s">
        <v>9</v>
      </c>
      <c r="H9" s="5" t="s">
        <v>8</v>
      </c>
      <c r="I9" s="6" t="s">
        <v>10</v>
      </c>
    </row>
    <row r="10" spans="1:11" ht="20" customHeight="1" x14ac:dyDescent="0.2">
      <c r="A10" s="4">
        <v>5100</v>
      </c>
      <c r="B10" s="4">
        <v>310</v>
      </c>
      <c r="C10" s="4">
        <v>1</v>
      </c>
      <c r="D10" s="4">
        <v>1</v>
      </c>
      <c r="E10" s="9" t="s">
        <v>14</v>
      </c>
      <c r="F10" s="4"/>
      <c r="G10" s="17">
        <f>2/3 *28000</f>
        <v>18666.666666666664</v>
      </c>
      <c r="H10" s="16">
        <v>9333</v>
      </c>
      <c r="I10" s="16">
        <f>G10+H10</f>
        <v>27999.666666666664</v>
      </c>
    </row>
    <row r="11" spans="1:11" ht="20" customHeight="1" x14ac:dyDescent="0.2">
      <c r="A11" s="4">
        <v>6120</v>
      </c>
      <c r="B11" s="4">
        <v>160</v>
      </c>
      <c r="C11" s="4">
        <v>1</v>
      </c>
      <c r="D11" s="4">
        <v>2</v>
      </c>
      <c r="E11" s="13" t="s">
        <v>86</v>
      </c>
      <c r="F11" s="14"/>
      <c r="G11" s="18">
        <f>2/3*186000</f>
        <v>124000</v>
      </c>
      <c r="H11" s="19">
        <f>1/3*186000</f>
        <v>62000</v>
      </c>
      <c r="I11" s="16">
        <f t="shared" ref="I11:I71" si="0">G11+H11</f>
        <v>186000</v>
      </c>
      <c r="K11">
        <f>10099524*0.05</f>
        <v>504976.2</v>
      </c>
    </row>
    <row r="12" spans="1:11" ht="20" customHeight="1" x14ac:dyDescent="0.2">
      <c r="A12" s="4">
        <v>6120</v>
      </c>
      <c r="B12" s="4">
        <v>220</v>
      </c>
      <c r="C12" s="4">
        <v>1</v>
      </c>
      <c r="D12" s="4">
        <v>2</v>
      </c>
      <c r="E12" s="13" t="s">
        <v>87</v>
      </c>
      <c r="F12" s="14"/>
      <c r="G12" s="18">
        <f>2/3*6426</f>
        <v>4284</v>
      </c>
      <c r="H12" s="19">
        <f>1/3*6426</f>
        <v>2142</v>
      </c>
      <c r="I12" s="16">
        <f t="shared" si="0"/>
        <v>6426</v>
      </c>
    </row>
    <row r="13" spans="1:11" ht="20" customHeight="1" x14ac:dyDescent="0.2">
      <c r="A13" s="4">
        <v>6120</v>
      </c>
      <c r="B13" s="4">
        <v>210</v>
      </c>
      <c r="C13" s="4">
        <v>1</v>
      </c>
      <c r="D13" s="4">
        <v>2</v>
      </c>
      <c r="E13" s="13" t="s">
        <v>88</v>
      </c>
      <c r="F13" s="14"/>
      <c r="G13" s="20">
        <f>2/3*9240</f>
        <v>6160</v>
      </c>
      <c r="H13" s="19">
        <f>1/3*20460</f>
        <v>6820</v>
      </c>
      <c r="I13" s="16">
        <f t="shared" si="0"/>
        <v>12980</v>
      </c>
    </row>
    <row r="14" spans="1:11" ht="20" customHeight="1" x14ac:dyDescent="0.2">
      <c r="A14" s="4">
        <v>6120</v>
      </c>
      <c r="B14" s="4">
        <v>230</v>
      </c>
      <c r="C14" s="4">
        <v>1</v>
      </c>
      <c r="D14" s="4">
        <v>2</v>
      </c>
      <c r="E14" s="13" t="s">
        <v>89</v>
      </c>
      <c r="F14" s="14"/>
      <c r="G14" s="20">
        <f>2/3*16800</f>
        <v>11200</v>
      </c>
      <c r="H14" s="19">
        <f>1/3*16800</f>
        <v>5600</v>
      </c>
      <c r="I14" s="16">
        <f t="shared" si="0"/>
        <v>16800</v>
      </c>
    </row>
    <row r="15" spans="1:11" ht="20" customHeight="1" x14ac:dyDescent="0.2">
      <c r="A15" s="4">
        <v>6120</v>
      </c>
      <c r="B15" s="4">
        <v>240</v>
      </c>
      <c r="C15" s="4">
        <v>1</v>
      </c>
      <c r="D15" s="4">
        <v>2</v>
      </c>
      <c r="E15" s="13" t="s">
        <v>15</v>
      </c>
      <c r="F15" s="14"/>
      <c r="G15" s="20">
        <f>2/3*1860</f>
        <v>1240</v>
      </c>
      <c r="H15" s="19">
        <f>1/3*1860</f>
        <v>620</v>
      </c>
      <c r="I15" s="16">
        <f t="shared" si="0"/>
        <v>1860</v>
      </c>
    </row>
    <row r="16" spans="1:11" ht="20" customHeight="1" x14ac:dyDescent="0.2">
      <c r="A16" s="4">
        <v>5100</v>
      </c>
      <c r="B16" s="4">
        <v>369</v>
      </c>
      <c r="C16" s="4">
        <v>1</v>
      </c>
      <c r="D16" s="4">
        <v>3</v>
      </c>
      <c r="E16" s="13" t="s">
        <v>90</v>
      </c>
      <c r="F16" s="14"/>
      <c r="G16" s="21">
        <f>2/3 * 300000</f>
        <v>200000</v>
      </c>
      <c r="H16" s="19">
        <f>1/3*300000</f>
        <v>100000</v>
      </c>
      <c r="I16" s="16">
        <f t="shared" si="0"/>
        <v>300000</v>
      </c>
    </row>
    <row r="17" spans="1:11" ht="20" customHeight="1" x14ac:dyDescent="0.2">
      <c r="A17" s="4">
        <v>5100</v>
      </c>
      <c r="B17" s="4">
        <v>120</v>
      </c>
      <c r="C17" s="4">
        <v>1</v>
      </c>
      <c r="D17" s="4">
        <v>4</v>
      </c>
      <c r="E17" s="13" t="s">
        <v>16</v>
      </c>
      <c r="F17" s="14"/>
      <c r="G17" s="20">
        <f>2/3*150000</f>
        <v>100000</v>
      </c>
      <c r="H17" s="19">
        <f>1/3*150000</f>
        <v>50000</v>
      </c>
      <c r="I17" s="16">
        <f t="shared" si="0"/>
        <v>150000</v>
      </c>
    </row>
    <row r="18" spans="1:11" ht="20" customHeight="1" x14ac:dyDescent="0.2">
      <c r="A18" s="4">
        <v>5100</v>
      </c>
      <c r="B18" s="4">
        <v>210</v>
      </c>
      <c r="C18" s="4">
        <v>1</v>
      </c>
      <c r="D18" s="4">
        <v>4</v>
      </c>
      <c r="E18" s="9" t="s">
        <v>17</v>
      </c>
      <c r="F18" s="4"/>
      <c r="G18" s="22">
        <f>2/3*16500</f>
        <v>11000</v>
      </c>
      <c r="H18" s="16">
        <f>1/3*16500</f>
        <v>5500</v>
      </c>
      <c r="I18" s="16">
        <f t="shared" si="0"/>
        <v>16500</v>
      </c>
    </row>
    <row r="19" spans="1:11" ht="20" customHeight="1" x14ac:dyDescent="0.2">
      <c r="A19" s="4">
        <v>5100</v>
      </c>
      <c r="B19" s="4">
        <v>220</v>
      </c>
      <c r="C19" s="4">
        <v>1</v>
      </c>
      <c r="D19" s="4">
        <v>4</v>
      </c>
      <c r="E19" s="9" t="s">
        <v>18</v>
      </c>
      <c r="F19" s="4"/>
      <c r="G19" s="22">
        <f>2/3*11475</f>
        <v>7650</v>
      </c>
      <c r="H19" s="16">
        <f>1/3*11475</f>
        <v>3825</v>
      </c>
      <c r="I19" s="16">
        <f t="shared" si="0"/>
        <v>11475</v>
      </c>
    </row>
    <row r="20" spans="1:11" ht="20" customHeight="1" x14ac:dyDescent="0.2">
      <c r="A20" s="4">
        <v>5500</v>
      </c>
      <c r="B20" s="4">
        <v>150</v>
      </c>
      <c r="C20" s="4">
        <v>1</v>
      </c>
      <c r="D20" s="4">
        <v>4</v>
      </c>
      <c r="E20" s="9" t="s">
        <v>23</v>
      </c>
      <c r="F20" s="4"/>
      <c r="G20" s="22">
        <v>46667</v>
      </c>
      <c r="H20" s="16">
        <v>23333</v>
      </c>
      <c r="I20" s="16">
        <f t="shared" si="0"/>
        <v>70000</v>
      </c>
    </row>
    <row r="21" spans="1:11" ht="20" customHeight="1" x14ac:dyDescent="0.2">
      <c r="A21" s="4">
        <v>5500</v>
      </c>
      <c r="B21" s="4">
        <v>210</v>
      </c>
      <c r="C21" s="4">
        <v>1</v>
      </c>
      <c r="D21" s="4">
        <v>4</v>
      </c>
      <c r="E21" s="9" t="s">
        <v>17</v>
      </c>
      <c r="F21" s="4"/>
      <c r="G21" s="22">
        <v>5134</v>
      </c>
      <c r="H21" s="16">
        <v>2566</v>
      </c>
      <c r="I21" s="16">
        <f t="shared" si="0"/>
        <v>7700</v>
      </c>
    </row>
    <row r="22" spans="1:11" ht="20" customHeight="1" x14ac:dyDescent="0.2">
      <c r="A22" s="4">
        <v>5500</v>
      </c>
      <c r="B22" s="4" t="s">
        <v>94</v>
      </c>
      <c r="C22" s="4">
        <v>1</v>
      </c>
      <c r="D22" s="4">
        <v>4</v>
      </c>
      <c r="E22" s="9" t="s">
        <v>93</v>
      </c>
      <c r="F22" s="4"/>
      <c r="G22" s="22">
        <v>3570</v>
      </c>
      <c r="H22" s="16">
        <v>1785</v>
      </c>
      <c r="I22" s="16">
        <f t="shared" si="0"/>
        <v>5355</v>
      </c>
    </row>
    <row r="23" spans="1:11" ht="20" customHeight="1" x14ac:dyDescent="0.2">
      <c r="A23" s="4">
        <v>5200</v>
      </c>
      <c r="B23" s="4">
        <v>120</v>
      </c>
      <c r="C23" s="4">
        <v>1</v>
      </c>
      <c r="D23" s="4">
        <v>4</v>
      </c>
      <c r="E23" s="9" t="s">
        <v>19</v>
      </c>
      <c r="F23" s="4"/>
      <c r="G23" s="22">
        <v>46667</v>
      </c>
      <c r="H23" s="16">
        <v>23333</v>
      </c>
      <c r="I23" s="16">
        <f t="shared" si="0"/>
        <v>70000</v>
      </c>
      <c r="K23" s="15"/>
    </row>
    <row r="24" spans="1:11" ht="20" customHeight="1" x14ac:dyDescent="0.2">
      <c r="A24" s="4">
        <v>5200</v>
      </c>
      <c r="B24" s="4">
        <v>210</v>
      </c>
      <c r="C24" s="4">
        <v>1</v>
      </c>
      <c r="D24" s="4">
        <v>4</v>
      </c>
      <c r="E24" s="9" t="s">
        <v>20</v>
      </c>
      <c r="F24" s="4"/>
      <c r="G24" s="22">
        <v>5134</v>
      </c>
      <c r="H24" s="16">
        <v>2566</v>
      </c>
      <c r="I24" s="16">
        <f t="shared" si="0"/>
        <v>7700</v>
      </c>
      <c r="K24" s="15"/>
    </row>
    <row r="25" spans="1:11" ht="20" customHeight="1" x14ac:dyDescent="0.2">
      <c r="A25" s="4">
        <v>5200</v>
      </c>
      <c r="B25" s="4">
        <v>220</v>
      </c>
      <c r="C25" s="4">
        <v>1</v>
      </c>
      <c r="D25" s="4">
        <v>4</v>
      </c>
      <c r="E25" s="9" t="s">
        <v>21</v>
      </c>
      <c r="F25" s="4"/>
      <c r="G25" s="22">
        <v>3570</v>
      </c>
      <c r="H25" s="16">
        <v>1785</v>
      </c>
      <c r="I25" s="16">
        <f t="shared" si="0"/>
        <v>5355</v>
      </c>
      <c r="K25" s="15"/>
    </row>
    <row r="26" spans="1:11" ht="37.5" customHeight="1" x14ac:dyDescent="0.2">
      <c r="A26" s="4">
        <v>5100</v>
      </c>
      <c r="B26" s="4">
        <v>150</v>
      </c>
      <c r="C26" s="4">
        <v>1</v>
      </c>
      <c r="D26" s="4">
        <v>4</v>
      </c>
      <c r="E26" s="9" t="s">
        <v>22</v>
      </c>
      <c r="F26" s="4"/>
      <c r="G26" s="20">
        <f>2/3*150000</f>
        <v>100000</v>
      </c>
      <c r="H26" s="19">
        <f>1/3*150000</f>
        <v>50000</v>
      </c>
      <c r="I26" s="16">
        <f t="shared" si="0"/>
        <v>150000</v>
      </c>
    </row>
    <row r="27" spans="1:11" ht="20" customHeight="1" x14ac:dyDescent="0.2">
      <c r="A27" s="4">
        <v>5100</v>
      </c>
      <c r="B27" s="4">
        <v>210</v>
      </c>
      <c r="C27" s="4">
        <v>1</v>
      </c>
      <c r="D27" s="4">
        <v>4</v>
      </c>
      <c r="E27" s="3" t="s">
        <v>92</v>
      </c>
      <c r="F27" s="4"/>
      <c r="G27" s="22">
        <v>5134</v>
      </c>
      <c r="H27" s="16">
        <v>2566</v>
      </c>
      <c r="I27" s="16">
        <f t="shared" si="0"/>
        <v>7700</v>
      </c>
      <c r="K27" s="11"/>
    </row>
    <row r="28" spans="1:11" ht="20" customHeight="1" x14ac:dyDescent="0.2">
      <c r="A28" s="4">
        <v>5100</v>
      </c>
      <c r="B28" s="4">
        <v>220</v>
      </c>
      <c r="C28" s="4">
        <v>1</v>
      </c>
      <c r="D28" s="4">
        <v>4</v>
      </c>
      <c r="E28" s="3" t="s">
        <v>91</v>
      </c>
      <c r="F28" s="4"/>
      <c r="G28" s="22">
        <v>3570</v>
      </c>
      <c r="H28" s="16">
        <v>1785</v>
      </c>
      <c r="I28" s="16">
        <f t="shared" si="0"/>
        <v>5355</v>
      </c>
    </row>
    <row r="29" spans="1:11" ht="45" customHeight="1" x14ac:dyDescent="0.2">
      <c r="A29" s="4">
        <v>5100</v>
      </c>
      <c r="B29" s="4">
        <v>522</v>
      </c>
      <c r="C29" s="4">
        <v>1</v>
      </c>
      <c r="D29" s="4">
        <v>5</v>
      </c>
      <c r="E29" s="13" t="s">
        <v>24</v>
      </c>
      <c r="F29" s="4"/>
      <c r="G29" s="20">
        <f>2/3*250000</f>
        <v>166666.66666666666</v>
      </c>
      <c r="H29" s="19">
        <v>83333</v>
      </c>
      <c r="I29" s="16">
        <f t="shared" si="0"/>
        <v>249999.66666666666</v>
      </c>
    </row>
    <row r="30" spans="1:11" ht="45" customHeight="1" x14ac:dyDescent="0.2">
      <c r="A30" s="4">
        <v>5100</v>
      </c>
      <c r="B30" s="4">
        <v>590</v>
      </c>
      <c r="C30" s="4">
        <v>1</v>
      </c>
      <c r="D30" s="4">
        <v>5</v>
      </c>
      <c r="E30" s="13" t="s">
        <v>25</v>
      </c>
      <c r="F30" s="14"/>
      <c r="G30" s="20">
        <f>2/3*280583.906</f>
        <v>187055.93733333334</v>
      </c>
      <c r="H30" s="19">
        <f>1/3*280583.906</f>
        <v>93527.968666666668</v>
      </c>
      <c r="I30" s="16">
        <f t="shared" si="0"/>
        <v>280583.90600000002</v>
      </c>
    </row>
    <row r="31" spans="1:11" ht="20" customHeight="1" x14ac:dyDescent="0.2">
      <c r="A31" s="4">
        <v>5100</v>
      </c>
      <c r="B31" s="4">
        <v>150</v>
      </c>
      <c r="C31" s="4">
        <v>1</v>
      </c>
      <c r="D31" s="4">
        <v>5</v>
      </c>
      <c r="E31" s="9" t="s">
        <v>30</v>
      </c>
      <c r="F31" s="4"/>
      <c r="G31" s="22">
        <f>2/3*253541.55</f>
        <v>169027.69999999998</v>
      </c>
      <c r="H31" s="16">
        <f>1/3*253541.55</f>
        <v>84513.849999999991</v>
      </c>
      <c r="I31" s="16">
        <f t="shared" si="0"/>
        <v>253541.55</v>
      </c>
    </row>
    <row r="32" spans="1:11" ht="20" customHeight="1" x14ac:dyDescent="0.2">
      <c r="A32" s="4">
        <v>5100</v>
      </c>
      <c r="B32" s="4">
        <v>220</v>
      </c>
      <c r="C32" s="4">
        <v>1</v>
      </c>
      <c r="D32" s="4">
        <v>5</v>
      </c>
      <c r="E32" s="9" t="s">
        <v>26</v>
      </c>
      <c r="F32" s="4"/>
      <c r="G32" s="22">
        <f>2/3*19395.92</f>
        <v>12930.613333333331</v>
      </c>
      <c r="H32" s="16">
        <f>1/3*19395.93</f>
        <v>6465.3099999999995</v>
      </c>
      <c r="I32" s="16">
        <f t="shared" si="0"/>
        <v>19395.923333333332</v>
      </c>
    </row>
    <row r="33" spans="1:9" ht="20" customHeight="1" x14ac:dyDescent="0.2">
      <c r="A33" s="4">
        <v>5100</v>
      </c>
      <c r="B33" s="4">
        <v>210</v>
      </c>
      <c r="C33" s="4">
        <v>1</v>
      </c>
      <c r="D33" s="4">
        <v>5</v>
      </c>
      <c r="E33" s="9" t="s">
        <v>27</v>
      </c>
      <c r="F33" s="4"/>
      <c r="G33" s="22">
        <v>18766</v>
      </c>
      <c r="H33" s="16">
        <v>9383</v>
      </c>
      <c r="I33" s="16">
        <f t="shared" si="0"/>
        <v>28149</v>
      </c>
    </row>
    <row r="34" spans="1:9" ht="20" customHeight="1" x14ac:dyDescent="0.2">
      <c r="A34" s="4">
        <v>5100</v>
      </c>
      <c r="B34" s="4">
        <v>240</v>
      </c>
      <c r="C34" s="4">
        <v>1</v>
      </c>
      <c r="D34" s="4">
        <v>5</v>
      </c>
      <c r="E34" s="9" t="s">
        <v>29</v>
      </c>
      <c r="F34" s="4"/>
      <c r="G34" s="22">
        <v>1706</v>
      </c>
      <c r="H34" s="16">
        <v>853</v>
      </c>
      <c r="I34" s="16">
        <f t="shared" si="0"/>
        <v>2559</v>
      </c>
    </row>
    <row r="35" spans="1:9" ht="20" customHeight="1" x14ac:dyDescent="0.2">
      <c r="A35" s="4">
        <v>5100</v>
      </c>
      <c r="B35" s="4">
        <v>230</v>
      </c>
      <c r="C35" s="4">
        <v>1</v>
      </c>
      <c r="D35" s="4">
        <v>5</v>
      </c>
      <c r="E35" s="9" t="s">
        <v>28</v>
      </c>
      <c r="F35" s="4"/>
      <c r="G35" s="22">
        <f>2/3*16800</f>
        <v>11200</v>
      </c>
      <c r="H35" s="16">
        <f>1/3*16800</f>
        <v>5600</v>
      </c>
      <c r="I35" s="16">
        <f t="shared" si="0"/>
        <v>16800</v>
      </c>
    </row>
    <row r="36" spans="1:9" ht="20" customHeight="1" x14ac:dyDescent="0.2">
      <c r="A36" s="4">
        <v>5100</v>
      </c>
      <c r="B36" s="4">
        <v>395</v>
      </c>
      <c r="C36" s="4">
        <v>1</v>
      </c>
      <c r="D36" s="4">
        <v>5</v>
      </c>
      <c r="E36" s="9" t="s">
        <v>31</v>
      </c>
      <c r="F36" s="4"/>
      <c r="G36" s="23">
        <f>2/3*20000</f>
        <v>13333.333333333332</v>
      </c>
      <c r="H36" s="24">
        <v>6666</v>
      </c>
      <c r="I36" s="16">
        <f t="shared" si="0"/>
        <v>19999.333333333332</v>
      </c>
    </row>
    <row r="37" spans="1:9" ht="20" customHeight="1" x14ac:dyDescent="0.2">
      <c r="A37" s="4">
        <v>7800</v>
      </c>
      <c r="B37" s="4">
        <v>630</v>
      </c>
      <c r="C37" s="4">
        <v>1</v>
      </c>
      <c r="D37" s="4">
        <v>5</v>
      </c>
      <c r="E37" s="9" t="s">
        <v>32</v>
      </c>
      <c r="F37" s="4"/>
      <c r="G37" s="22">
        <f>2/3*40000</f>
        <v>26666.666666666664</v>
      </c>
      <c r="H37" s="16">
        <v>13333</v>
      </c>
      <c r="I37" s="16">
        <f t="shared" si="0"/>
        <v>39999.666666666664</v>
      </c>
    </row>
    <row r="38" spans="1:9" ht="20" customHeight="1" x14ac:dyDescent="0.2">
      <c r="A38" s="4">
        <v>7800</v>
      </c>
      <c r="B38" s="4">
        <v>210</v>
      </c>
      <c r="C38" s="4">
        <v>1</v>
      </c>
      <c r="D38" s="4">
        <v>5</v>
      </c>
      <c r="E38" s="9" t="s">
        <v>33</v>
      </c>
      <c r="F38" s="4"/>
      <c r="G38" s="22">
        <f>2/3*5000</f>
        <v>3333.333333333333</v>
      </c>
      <c r="H38" s="16">
        <v>1666</v>
      </c>
      <c r="I38" s="16">
        <f t="shared" si="0"/>
        <v>4999.333333333333</v>
      </c>
    </row>
    <row r="39" spans="1:9" ht="16" x14ac:dyDescent="0.2">
      <c r="A39" s="4">
        <v>7800</v>
      </c>
      <c r="B39" s="4">
        <v>220</v>
      </c>
      <c r="C39" s="4">
        <v>1</v>
      </c>
      <c r="D39" s="4">
        <v>5</v>
      </c>
      <c r="E39" s="9" t="s">
        <v>34</v>
      </c>
      <c r="F39" s="25"/>
      <c r="G39" s="16">
        <v>3334</v>
      </c>
      <c r="H39" s="16">
        <v>1666</v>
      </c>
      <c r="I39" s="16">
        <f t="shared" si="0"/>
        <v>5000</v>
      </c>
    </row>
    <row r="40" spans="1:9" ht="16" x14ac:dyDescent="0.2">
      <c r="A40" s="4"/>
      <c r="B40" s="26">
        <v>652</v>
      </c>
      <c r="C40" s="25" t="s">
        <v>35</v>
      </c>
      <c r="D40" s="25">
        <v>2</v>
      </c>
      <c r="E40" s="9" t="s">
        <v>36</v>
      </c>
      <c r="F40" s="27"/>
      <c r="G40" s="16">
        <f>2/3*60000</f>
        <v>40000</v>
      </c>
      <c r="H40" s="28">
        <f>1/3*60000</f>
        <v>20000</v>
      </c>
      <c r="I40" s="16">
        <f>G40+H40</f>
        <v>60000</v>
      </c>
    </row>
    <row r="41" spans="1:9" ht="16" x14ac:dyDescent="0.2">
      <c r="A41" s="4"/>
      <c r="B41" s="29">
        <v>590</v>
      </c>
      <c r="C41" s="30" t="s">
        <v>38</v>
      </c>
      <c r="D41" s="30">
        <v>2</v>
      </c>
      <c r="E41" s="12" t="s">
        <v>95</v>
      </c>
      <c r="F41" s="31"/>
      <c r="G41" s="32">
        <v>26119</v>
      </c>
      <c r="H41" s="33">
        <v>52238.6</v>
      </c>
      <c r="I41" s="16">
        <f t="shared" si="0"/>
        <v>78357.600000000006</v>
      </c>
    </row>
    <row r="42" spans="1:9" ht="16" x14ac:dyDescent="0.2">
      <c r="A42" s="26">
        <v>7800</v>
      </c>
      <c r="B42" s="27" t="s">
        <v>64</v>
      </c>
      <c r="C42" s="34" t="s">
        <v>38</v>
      </c>
      <c r="D42" s="35">
        <v>2</v>
      </c>
      <c r="E42" s="9" t="s">
        <v>39</v>
      </c>
      <c r="F42" s="36"/>
      <c r="G42" s="37">
        <f>2/3*50000</f>
        <v>33333.333333333328</v>
      </c>
      <c r="H42" s="38">
        <v>16666</v>
      </c>
      <c r="I42" s="16">
        <f t="shared" si="0"/>
        <v>49999.333333333328</v>
      </c>
    </row>
    <row r="43" spans="1:9" ht="16" x14ac:dyDescent="0.2">
      <c r="A43" s="35">
        <v>5300</v>
      </c>
      <c r="B43" s="39">
        <v>310</v>
      </c>
      <c r="C43" s="40" t="s">
        <v>37</v>
      </c>
      <c r="D43" s="35">
        <v>2</v>
      </c>
      <c r="E43" s="9" t="s">
        <v>40</v>
      </c>
      <c r="F43" s="27"/>
      <c r="G43" s="16">
        <v>40000</v>
      </c>
      <c r="H43" s="16">
        <v>20000</v>
      </c>
      <c r="I43" s="16">
        <f t="shared" si="0"/>
        <v>60000</v>
      </c>
    </row>
    <row r="44" spans="1:9" ht="16" x14ac:dyDescent="0.2">
      <c r="A44" s="39">
        <v>5300</v>
      </c>
      <c r="B44" s="36">
        <v>120</v>
      </c>
      <c r="C44" s="40" t="s">
        <v>37</v>
      </c>
      <c r="D44" s="40">
        <v>2</v>
      </c>
      <c r="E44" s="12" t="s">
        <v>83</v>
      </c>
      <c r="F44" s="41"/>
      <c r="G44" s="42">
        <f>2/3*86000</f>
        <v>57333.333333333328</v>
      </c>
      <c r="H44" s="32">
        <f>2/3*86000</f>
        <v>57333.333333333328</v>
      </c>
      <c r="I44" s="16">
        <f t="shared" si="0"/>
        <v>114666.66666666666</v>
      </c>
    </row>
    <row r="45" spans="1:9" ht="14.25" customHeight="1" x14ac:dyDescent="0.2">
      <c r="A45" s="36">
        <v>5300</v>
      </c>
      <c r="B45" s="27">
        <v>210</v>
      </c>
      <c r="C45" s="34" t="s">
        <v>37</v>
      </c>
      <c r="D45" s="35">
        <v>2</v>
      </c>
      <c r="E45" s="9" t="s">
        <v>42</v>
      </c>
      <c r="F45" s="27"/>
      <c r="G45" s="16">
        <f>2/3*9460</f>
        <v>6306.6666666666661</v>
      </c>
      <c r="H45" s="16">
        <f>1/3*9460</f>
        <v>3153.333333333333</v>
      </c>
      <c r="I45" s="16">
        <f t="shared" si="0"/>
        <v>9460</v>
      </c>
    </row>
    <row r="46" spans="1:9" ht="16" x14ac:dyDescent="0.2">
      <c r="A46" s="27">
        <v>5300</v>
      </c>
      <c r="B46" s="41">
        <v>240</v>
      </c>
      <c r="C46" s="41" t="s">
        <v>37</v>
      </c>
      <c r="D46" s="41">
        <v>2</v>
      </c>
      <c r="E46" s="9" t="s">
        <v>41</v>
      </c>
      <c r="F46" s="27"/>
      <c r="G46" s="16">
        <v>1260</v>
      </c>
      <c r="H46" s="16">
        <f>1/3*1860</f>
        <v>620</v>
      </c>
      <c r="I46" s="16">
        <f t="shared" si="0"/>
        <v>1880</v>
      </c>
    </row>
    <row r="47" spans="1:9" ht="16" x14ac:dyDescent="0.2">
      <c r="A47" s="41">
        <v>5300</v>
      </c>
      <c r="B47" s="27">
        <v>230</v>
      </c>
      <c r="C47" s="34" t="s">
        <v>37</v>
      </c>
      <c r="D47" s="35">
        <v>2</v>
      </c>
      <c r="E47" s="9" t="s">
        <v>82</v>
      </c>
      <c r="F47" s="27"/>
      <c r="G47" s="16">
        <f>2/3*11200</f>
        <v>7466.6666666666661</v>
      </c>
      <c r="H47" s="16">
        <f>1/3*11200</f>
        <v>3733.333333333333</v>
      </c>
      <c r="I47" s="16">
        <f t="shared" si="0"/>
        <v>11200</v>
      </c>
    </row>
    <row r="48" spans="1:9" ht="16" x14ac:dyDescent="0.2">
      <c r="A48" s="27">
        <v>5300</v>
      </c>
      <c r="B48" s="27">
        <v>220</v>
      </c>
      <c r="C48" s="34" t="s">
        <v>37</v>
      </c>
      <c r="D48" s="35">
        <v>2</v>
      </c>
      <c r="E48" s="9" t="s">
        <v>43</v>
      </c>
      <c r="F48" s="27"/>
      <c r="G48" s="16">
        <v>9639</v>
      </c>
      <c r="H48" s="16">
        <f>1/3*14229</f>
        <v>4743</v>
      </c>
      <c r="I48" s="16">
        <f t="shared" si="0"/>
        <v>14382</v>
      </c>
    </row>
    <row r="49" spans="1:9" ht="16" x14ac:dyDescent="0.2">
      <c r="A49" s="27">
        <v>5300</v>
      </c>
      <c r="B49" s="27">
        <v>510</v>
      </c>
      <c r="C49" s="34" t="s">
        <v>45</v>
      </c>
      <c r="D49" s="35">
        <v>2</v>
      </c>
      <c r="E49" s="9" t="s">
        <v>44</v>
      </c>
      <c r="F49" s="27"/>
      <c r="G49" s="16">
        <f>1/3*20000</f>
        <v>6666.6666666666661</v>
      </c>
      <c r="H49" s="16">
        <f>1/3*20000</f>
        <v>6666.6666666666661</v>
      </c>
      <c r="I49" s="16">
        <f t="shared" si="0"/>
        <v>13333.333333333332</v>
      </c>
    </row>
    <row r="50" spans="1:9" ht="16" x14ac:dyDescent="0.2">
      <c r="A50" s="27">
        <v>5300</v>
      </c>
      <c r="B50" s="27">
        <v>160</v>
      </c>
      <c r="C50" s="34" t="s">
        <v>46</v>
      </c>
      <c r="D50" s="35">
        <v>2</v>
      </c>
      <c r="E50" s="9" t="s">
        <v>47</v>
      </c>
      <c r="F50" s="27"/>
      <c r="G50" s="16">
        <f>2/3*186000</f>
        <v>124000</v>
      </c>
      <c r="H50" s="16">
        <f>1/3*186000</f>
        <v>62000</v>
      </c>
      <c r="I50" s="16">
        <f t="shared" si="0"/>
        <v>186000</v>
      </c>
    </row>
    <row r="51" spans="1:9" ht="16" x14ac:dyDescent="0.2">
      <c r="A51" s="27">
        <v>6110</v>
      </c>
      <c r="B51" s="27">
        <v>210</v>
      </c>
      <c r="C51" s="34" t="s">
        <v>46</v>
      </c>
      <c r="D51" s="35">
        <v>2</v>
      </c>
      <c r="E51" s="9" t="s">
        <v>48</v>
      </c>
      <c r="F51" s="27"/>
      <c r="G51" s="16">
        <v>20460</v>
      </c>
      <c r="H51" s="16">
        <f>1/3*20460</f>
        <v>6820</v>
      </c>
      <c r="I51" s="16">
        <f t="shared" si="0"/>
        <v>27280</v>
      </c>
    </row>
    <row r="52" spans="1:9" ht="16" x14ac:dyDescent="0.2">
      <c r="A52" s="27">
        <v>6110</v>
      </c>
      <c r="B52" s="27">
        <v>240</v>
      </c>
      <c r="C52" s="34" t="s">
        <v>46</v>
      </c>
      <c r="D52" s="35">
        <v>2</v>
      </c>
      <c r="E52" s="9" t="s">
        <v>49</v>
      </c>
      <c r="F52" s="27"/>
      <c r="G52" s="16">
        <v>1860</v>
      </c>
      <c r="H52" s="16">
        <f>1/3*1860</f>
        <v>620</v>
      </c>
      <c r="I52" s="16">
        <f t="shared" si="0"/>
        <v>2480</v>
      </c>
    </row>
    <row r="53" spans="1:9" ht="16" x14ac:dyDescent="0.2">
      <c r="A53" s="27">
        <v>6110</v>
      </c>
      <c r="B53" s="27">
        <v>230</v>
      </c>
      <c r="C53" s="34" t="s">
        <v>46</v>
      </c>
      <c r="D53" s="35">
        <v>2</v>
      </c>
      <c r="E53" s="9" t="s">
        <v>50</v>
      </c>
      <c r="F53" s="27"/>
      <c r="G53" s="16">
        <f>2/3*16800</f>
        <v>11200</v>
      </c>
      <c r="H53" s="16">
        <f>1/3*16800</f>
        <v>5600</v>
      </c>
      <c r="I53" s="16">
        <f t="shared" si="0"/>
        <v>16800</v>
      </c>
    </row>
    <row r="54" spans="1:9" ht="16" x14ac:dyDescent="0.2">
      <c r="A54" s="27">
        <v>6110</v>
      </c>
      <c r="B54" s="27">
        <v>220</v>
      </c>
      <c r="C54" s="34" t="s">
        <v>46</v>
      </c>
      <c r="D54" s="35">
        <v>2</v>
      </c>
      <c r="E54" s="9" t="s">
        <v>51</v>
      </c>
      <c r="F54" s="27"/>
      <c r="G54" s="16">
        <f>2/3*14229</f>
        <v>9486</v>
      </c>
      <c r="H54" s="16">
        <f>1/3*14229</f>
        <v>4743</v>
      </c>
      <c r="I54" s="16">
        <f t="shared" si="0"/>
        <v>14229</v>
      </c>
    </row>
    <row r="55" spans="1:9" ht="16" x14ac:dyDescent="0.2">
      <c r="A55" s="27">
        <v>6110</v>
      </c>
      <c r="B55" s="27">
        <v>130</v>
      </c>
      <c r="C55" s="34" t="s">
        <v>52</v>
      </c>
      <c r="D55" s="35">
        <v>2</v>
      </c>
      <c r="E55" s="12" t="s">
        <v>84</v>
      </c>
      <c r="F55" s="27"/>
      <c r="G55" s="32">
        <f>2/3*45000</f>
        <v>30000</v>
      </c>
      <c r="H55" s="32">
        <f>1/3*45000</f>
        <v>15000</v>
      </c>
      <c r="I55" s="16">
        <f t="shared" si="0"/>
        <v>45000</v>
      </c>
    </row>
    <row r="56" spans="1:9" ht="16" x14ac:dyDescent="0.2">
      <c r="A56" s="27">
        <v>6120</v>
      </c>
      <c r="B56" s="27">
        <v>220</v>
      </c>
      <c r="C56" s="34" t="s">
        <v>46</v>
      </c>
      <c r="D56" s="35">
        <v>2</v>
      </c>
      <c r="E56" s="9" t="s">
        <v>60</v>
      </c>
      <c r="F56" s="27"/>
      <c r="G56" s="16">
        <f>2/3*9900</f>
        <v>6600</v>
      </c>
      <c r="H56" s="16">
        <f>1/3*9900</f>
        <v>3300</v>
      </c>
      <c r="I56" s="16">
        <f t="shared" si="0"/>
        <v>9900</v>
      </c>
    </row>
    <row r="57" spans="1:9" ht="16" x14ac:dyDescent="0.2">
      <c r="A57" s="27">
        <v>6120</v>
      </c>
      <c r="B57" s="27">
        <v>240</v>
      </c>
      <c r="C57" s="34" t="s">
        <v>46</v>
      </c>
      <c r="D57" s="35">
        <v>2</v>
      </c>
      <c r="E57" s="9" t="s">
        <v>61</v>
      </c>
      <c r="F57" s="27"/>
      <c r="G57" s="16">
        <f>2/3*900</f>
        <v>600</v>
      </c>
      <c r="H57" s="16">
        <f>1/3*900</f>
        <v>300</v>
      </c>
      <c r="I57" s="16">
        <f t="shared" si="0"/>
        <v>900</v>
      </c>
    </row>
    <row r="58" spans="1:9" ht="16" x14ac:dyDescent="0.2">
      <c r="A58" s="27">
        <v>6120</v>
      </c>
      <c r="B58" s="27">
        <v>230</v>
      </c>
      <c r="C58" s="34" t="s">
        <v>46</v>
      </c>
      <c r="D58" s="35">
        <v>2</v>
      </c>
      <c r="E58" s="9" t="s">
        <v>85</v>
      </c>
      <c r="F58" s="27"/>
      <c r="G58" s="16">
        <f>2/3*16800</f>
        <v>11200</v>
      </c>
      <c r="H58" s="16">
        <f>1/3*16800</f>
        <v>5600</v>
      </c>
      <c r="I58" s="16">
        <f t="shared" si="0"/>
        <v>16800</v>
      </c>
    </row>
    <row r="59" spans="1:9" ht="16" x14ac:dyDescent="0.2">
      <c r="A59" s="27">
        <v>6120</v>
      </c>
      <c r="B59" s="27">
        <v>220</v>
      </c>
      <c r="C59" s="34" t="s">
        <v>46</v>
      </c>
      <c r="D59" s="35">
        <v>2</v>
      </c>
      <c r="E59" s="9" t="s">
        <v>59</v>
      </c>
      <c r="F59" s="27"/>
      <c r="G59" s="16">
        <f>2/3*20655</f>
        <v>13770</v>
      </c>
      <c r="H59" s="16">
        <f>1/3*20655</f>
        <v>6885</v>
      </c>
      <c r="I59" s="16">
        <f t="shared" si="0"/>
        <v>20655</v>
      </c>
    </row>
    <row r="60" spans="1:9" ht="16" x14ac:dyDescent="0.2">
      <c r="A60" s="27">
        <v>6120</v>
      </c>
      <c r="B60" s="27">
        <v>379</v>
      </c>
      <c r="C60" s="27" t="s">
        <v>53</v>
      </c>
      <c r="D60" s="35">
        <v>2</v>
      </c>
      <c r="E60" s="9" t="s">
        <v>79</v>
      </c>
      <c r="F60" s="27"/>
      <c r="G60" s="16">
        <f>2/3*36000</f>
        <v>24000</v>
      </c>
      <c r="H60" s="16">
        <f>1/3*36000</f>
        <v>12000</v>
      </c>
      <c r="I60" s="16">
        <f t="shared" si="0"/>
        <v>36000</v>
      </c>
    </row>
    <row r="61" spans="1:9" ht="16" x14ac:dyDescent="0.2">
      <c r="A61" s="27">
        <v>6500</v>
      </c>
      <c r="B61" s="27">
        <v>610</v>
      </c>
      <c r="C61" s="34" t="s">
        <v>96</v>
      </c>
      <c r="D61" s="35">
        <v>1</v>
      </c>
      <c r="E61" s="9" t="s">
        <v>80</v>
      </c>
      <c r="F61" s="27"/>
      <c r="G61" s="16">
        <f>2/3*3700</f>
        <v>2466.6666666666665</v>
      </c>
      <c r="H61" s="16">
        <v>12333</v>
      </c>
      <c r="I61" s="16">
        <f t="shared" si="0"/>
        <v>14799.666666666666</v>
      </c>
    </row>
    <row r="62" spans="1:9" ht="16" x14ac:dyDescent="0.2">
      <c r="A62" s="27" t="s">
        <v>81</v>
      </c>
      <c r="B62" s="27">
        <v>630</v>
      </c>
      <c r="C62" s="27" t="s">
        <v>54</v>
      </c>
      <c r="D62" s="35">
        <v>2</v>
      </c>
      <c r="E62" s="12" t="s">
        <v>55</v>
      </c>
      <c r="F62" s="27"/>
      <c r="G62" s="32">
        <f>2/3*100000</f>
        <v>66666.666666666657</v>
      </c>
      <c r="H62" s="32">
        <f>1/3*100000</f>
        <v>33333.333333333328</v>
      </c>
      <c r="I62" s="16">
        <f t="shared" si="0"/>
        <v>99999.999999999985</v>
      </c>
    </row>
    <row r="63" spans="1:9" ht="16" x14ac:dyDescent="0.2">
      <c r="A63" s="27">
        <v>7400</v>
      </c>
      <c r="B63" s="27">
        <v>590</v>
      </c>
      <c r="C63" s="27" t="s">
        <v>54</v>
      </c>
      <c r="D63" s="35">
        <v>2</v>
      </c>
      <c r="E63" s="9" t="s">
        <v>56</v>
      </c>
      <c r="F63" s="27"/>
      <c r="G63" s="16">
        <f>2/3*25000</f>
        <v>16666.666666666664</v>
      </c>
      <c r="H63" s="16">
        <v>8333</v>
      </c>
      <c r="I63" s="16">
        <f t="shared" si="0"/>
        <v>24999.666666666664</v>
      </c>
    </row>
    <row r="64" spans="1:9" ht="16" x14ac:dyDescent="0.2">
      <c r="A64" s="27">
        <v>5100</v>
      </c>
      <c r="B64" s="27">
        <v>369</v>
      </c>
      <c r="C64" s="27" t="s">
        <v>57</v>
      </c>
      <c r="D64" s="35">
        <v>2</v>
      </c>
      <c r="E64" s="9" t="s">
        <v>58</v>
      </c>
      <c r="F64" s="27"/>
      <c r="G64" s="16">
        <f>2/3*10000</f>
        <v>6666.6666666666661</v>
      </c>
      <c r="H64" s="16">
        <v>3333</v>
      </c>
      <c r="I64" s="16">
        <f t="shared" si="0"/>
        <v>9999.6666666666661</v>
      </c>
    </row>
    <row r="65" spans="1:9" ht="16" x14ac:dyDescent="0.2">
      <c r="A65" s="27">
        <v>6120</v>
      </c>
      <c r="B65" s="27">
        <v>671</v>
      </c>
      <c r="C65" s="27" t="s">
        <v>62</v>
      </c>
      <c r="D65" s="35">
        <v>2</v>
      </c>
      <c r="E65" s="9" t="s">
        <v>63</v>
      </c>
      <c r="F65" s="27"/>
      <c r="G65" s="16">
        <f>2/3*100000</f>
        <v>66666.666666666657</v>
      </c>
      <c r="H65" s="16">
        <v>3333</v>
      </c>
      <c r="I65" s="16">
        <f t="shared" si="0"/>
        <v>69999.666666666657</v>
      </c>
    </row>
    <row r="66" spans="1:9" ht="16" x14ac:dyDescent="0.2">
      <c r="A66" s="27">
        <v>7400</v>
      </c>
      <c r="B66" s="27">
        <v>120</v>
      </c>
      <c r="C66" s="27" t="s">
        <v>66</v>
      </c>
      <c r="D66" s="35">
        <v>2</v>
      </c>
      <c r="E66" s="9" t="s">
        <v>65</v>
      </c>
      <c r="F66" s="27"/>
      <c r="G66" s="16">
        <f>2/3*20000</f>
        <v>13333.333333333332</v>
      </c>
      <c r="H66" s="16">
        <v>6666</v>
      </c>
      <c r="I66" s="16">
        <f t="shared" si="0"/>
        <v>19999.333333333332</v>
      </c>
    </row>
    <row r="67" spans="1:9" ht="16" x14ac:dyDescent="0.2">
      <c r="A67" s="27">
        <v>5100</v>
      </c>
      <c r="B67" s="27">
        <v>369</v>
      </c>
      <c r="C67" s="27" t="s">
        <v>67</v>
      </c>
      <c r="D67" s="35">
        <v>2</v>
      </c>
      <c r="E67" s="9" t="s">
        <v>78</v>
      </c>
      <c r="F67" s="27"/>
      <c r="G67" s="16">
        <f>2/3*50000</f>
        <v>33333.333333333328</v>
      </c>
      <c r="H67" s="16">
        <f>1/3*50000</f>
        <v>16666.666666666664</v>
      </c>
      <c r="I67" s="16">
        <f t="shared" si="0"/>
        <v>49999.999999999993</v>
      </c>
    </row>
    <row r="68" spans="1:9" ht="16" x14ac:dyDescent="0.2">
      <c r="A68" s="27">
        <v>5100</v>
      </c>
      <c r="B68" s="27">
        <v>680</v>
      </c>
      <c r="C68" s="27" t="s">
        <v>68</v>
      </c>
      <c r="D68" s="35">
        <v>2</v>
      </c>
      <c r="E68" s="12" t="s">
        <v>69</v>
      </c>
      <c r="F68" s="27"/>
      <c r="G68" s="16">
        <f>1/3*54630.84</f>
        <v>18210.28</v>
      </c>
      <c r="H68" s="16">
        <f>1/3*54630.84</f>
        <v>18210.28</v>
      </c>
      <c r="I68" s="16">
        <f t="shared" si="0"/>
        <v>36420.559999999998</v>
      </c>
    </row>
    <row r="69" spans="1:9" x14ac:dyDescent="0.2">
      <c r="A69" s="27">
        <v>7400</v>
      </c>
      <c r="B69" s="43" t="s">
        <v>72</v>
      </c>
      <c r="C69" s="43" t="s">
        <v>70</v>
      </c>
      <c r="D69" s="35">
        <v>2</v>
      </c>
      <c r="E69" s="44" t="s">
        <v>73</v>
      </c>
      <c r="F69" s="27"/>
      <c r="G69" s="16">
        <f>2/3*650000</f>
        <v>433333.33333333331</v>
      </c>
      <c r="H69" s="16">
        <f>1/3*650000</f>
        <v>216666.66666666666</v>
      </c>
      <c r="I69" s="16">
        <f t="shared" si="0"/>
        <v>650000</v>
      </c>
    </row>
    <row r="70" spans="1:9" ht="48" x14ac:dyDescent="0.2">
      <c r="A70" s="45" t="s">
        <v>71</v>
      </c>
      <c r="B70" s="27">
        <v>790</v>
      </c>
      <c r="C70" s="27" t="s">
        <v>74</v>
      </c>
      <c r="D70" s="35">
        <v>2</v>
      </c>
      <c r="E70" s="44" t="s">
        <v>75</v>
      </c>
      <c r="F70" s="27"/>
      <c r="G70" s="16">
        <f>2/3*504976</f>
        <v>336650.66666666663</v>
      </c>
      <c r="H70" s="16">
        <f>1/3*504976</f>
        <v>168325.33333333331</v>
      </c>
      <c r="I70" s="16">
        <f t="shared" si="0"/>
        <v>504975.99999999994</v>
      </c>
    </row>
    <row r="71" spans="1:9" ht="90" customHeight="1" x14ac:dyDescent="0.2">
      <c r="A71" s="27">
        <v>7200</v>
      </c>
      <c r="B71" s="27">
        <v>630</v>
      </c>
      <c r="C71" s="27" t="s">
        <v>76</v>
      </c>
      <c r="D71" s="35">
        <v>2</v>
      </c>
      <c r="E71" s="46" t="s">
        <v>77</v>
      </c>
      <c r="F71" s="27"/>
      <c r="G71" s="32">
        <f>2/3*5848773.2</f>
        <v>3899182.1333333333</v>
      </c>
      <c r="H71" s="16">
        <f>1/3*5848773.2</f>
        <v>1949591.0666666667</v>
      </c>
      <c r="I71" s="16">
        <f t="shared" si="0"/>
        <v>5848773.2000000002</v>
      </c>
    </row>
    <row r="72" spans="1:9" x14ac:dyDescent="0.2">
      <c r="A72" s="27" t="s">
        <v>97</v>
      </c>
      <c r="B72" s="27"/>
      <c r="C72" s="27"/>
      <c r="D72" s="27"/>
      <c r="E72" s="44"/>
      <c r="F72" s="27"/>
      <c r="G72" s="47">
        <f>SUM(G10:G71)</f>
        <v>6692143.9973333329</v>
      </c>
      <c r="H72" s="47">
        <f>SUM(H10:H71)</f>
        <v>3407379.7420000001</v>
      </c>
      <c r="I72" s="47">
        <f>G72+H72</f>
        <v>10099523.739333333</v>
      </c>
    </row>
    <row r="73" spans="1:9" x14ac:dyDescent="0.2">
      <c r="E73" s="10"/>
    </row>
    <row r="74" spans="1:9" x14ac:dyDescent="0.2">
      <c r="E74" s="10"/>
    </row>
    <row r="77" spans="1:9" x14ac:dyDescent="0.2">
      <c r="E77" s="8"/>
    </row>
    <row r="79" spans="1:9" x14ac:dyDescent="0.2">
      <c r="E79" s="7"/>
    </row>
  </sheetData>
  <autoFilter ref="A9:I72" xr:uid="{00000000-0009-0000-0000-000000000000}"/>
  <mergeCells count="5">
    <mergeCell ref="A1:D2"/>
    <mergeCell ref="H1:I3"/>
    <mergeCell ref="A3:D4"/>
    <mergeCell ref="A7:I7"/>
    <mergeCell ref="A6:I6"/>
  </mergeCells>
  <pageMargins left="0.7" right="0.7" top="0.75" bottom="0.75" header="0.3" footer="0.3"/>
  <pageSetup scale="2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2022-01-28T15:32:53Z</cp:lastPrinted>
  <dcterms:created xsi:type="dcterms:W3CDTF">2021-06-09T18:28:06Z</dcterms:created>
  <dcterms:modified xsi:type="dcterms:W3CDTF">2022-04-11T18:10:01Z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