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E359CF23-5858-364F-AFD3-1EADBABEFCBF}" xr6:coauthVersionLast="47" xr6:coauthVersionMax="47" xr10:uidLastSave="{00000000-0000-0000-0000-000000000000}"/>
  <bookViews>
    <workbookView xWindow="-20" yWindow="500" windowWidth="28800" windowHeight="12440" xr2:uid="{00000000-000D-0000-FFFF-FFFF00000000}"/>
  </bookViews>
  <sheets>
    <sheet name="Sheet1" sheetId="1" r:id="rId1"/>
    <sheet name="Sheet2" sheetId="2" r:id="rId2"/>
  </sheets>
  <definedNames>
    <definedName name="_xlnm._FilterDatabase" localSheetId="0" hidden="1">Sheet1!$A$9:$I$152</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_xlnm.Print_Area" localSheetId="0">Sheet1!$A$1:$I$157</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 i="1" l="1"/>
  <c r="H34" i="1"/>
  <c r="G34" i="1"/>
  <c r="H38" i="1"/>
  <c r="M4" i="1"/>
  <c r="M3" i="1"/>
  <c r="H41" i="1"/>
  <c r="H40" i="1"/>
  <c r="G40" i="1"/>
  <c r="H39" i="1"/>
  <c r="G39" i="1"/>
  <c r="H37" i="1"/>
  <c r="G17" i="1"/>
  <c r="H17" i="1"/>
  <c r="I32" i="1"/>
  <c r="G32" i="1" s="1"/>
  <c r="G10" i="1"/>
  <c r="H10" i="1"/>
  <c r="G11" i="1"/>
  <c r="H11" i="1"/>
  <c r="G12" i="1"/>
  <c r="H12" i="1"/>
  <c r="G33" i="1"/>
  <c r="H33" i="1"/>
  <c r="G13" i="1"/>
  <c r="H13" i="1"/>
  <c r="G14" i="1"/>
  <c r="H14" i="1"/>
  <c r="G15" i="1"/>
  <c r="H15" i="1"/>
  <c r="G16" i="1"/>
  <c r="H16" i="1"/>
  <c r="G35" i="1"/>
  <c r="H35" i="1"/>
  <c r="G18" i="1"/>
  <c r="H18" i="1"/>
  <c r="G36" i="1"/>
  <c r="H36" i="1"/>
  <c r="G19" i="1"/>
  <c r="H19" i="1"/>
  <c r="G20" i="1"/>
  <c r="H20" i="1"/>
  <c r="G21" i="1"/>
  <c r="G22" i="1"/>
  <c r="G23" i="1"/>
  <c r="H23" i="1"/>
  <c r="G24" i="1"/>
  <c r="H24" i="1"/>
  <c r="G25" i="1"/>
  <c r="I44" i="1"/>
  <c r="G52" i="1"/>
  <c r="H52" i="1"/>
  <c r="G62" i="1"/>
  <c r="H62" i="1"/>
  <c r="G64" i="1"/>
  <c r="H64" i="1"/>
  <c r="G65" i="1"/>
  <c r="H65" i="1"/>
  <c r="G66" i="1"/>
  <c r="H66" i="1"/>
  <c r="G67" i="1"/>
  <c r="H67" i="1"/>
  <c r="G68" i="1"/>
  <c r="H68" i="1"/>
  <c r="I69" i="1"/>
  <c r="I73" i="1"/>
  <c r="G74" i="1"/>
  <c r="I74" i="1"/>
  <c r="G75" i="1"/>
  <c r="I75" i="1"/>
  <c r="G76" i="1"/>
  <c r="I76" i="1"/>
  <c r="G77" i="1"/>
  <c r="I77" i="1"/>
  <c r="G78" i="1"/>
  <c r="I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7" i="1"/>
  <c r="H97" i="1"/>
  <c r="I105" i="1"/>
  <c r="G98" i="1"/>
  <c r="H98" i="1"/>
  <c r="G99" i="1"/>
  <c r="H99" i="1"/>
  <c r="I106" i="1"/>
  <c r="G100" i="1"/>
  <c r="H100" i="1"/>
  <c r="G101" i="1"/>
  <c r="H101" i="1"/>
  <c r="G102" i="1"/>
  <c r="H102" i="1"/>
  <c r="G103" i="1"/>
  <c r="H103" i="1"/>
  <c r="G104" i="1"/>
  <c r="H104" i="1"/>
  <c r="G108" i="1"/>
  <c r="H108" i="1"/>
  <c r="G109" i="1"/>
  <c r="H109" i="1"/>
  <c r="I113" i="1"/>
  <c r="G113" i="1" s="1"/>
  <c r="I114" i="1"/>
  <c r="G114" i="1" s="1"/>
  <c r="G115" i="1"/>
  <c r="H115" i="1"/>
  <c r="G116" i="1"/>
  <c r="H116" i="1"/>
  <c r="I117" i="1"/>
  <c r="G117" i="1" s="1"/>
  <c r="G121" i="1"/>
  <c r="H121" i="1"/>
  <c r="G124" i="1"/>
  <c r="H124" i="1"/>
  <c r="G125" i="1"/>
  <c r="H125" i="1"/>
  <c r="G128" i="1"/>
  <c r="H128" i="1"/>
  <c r="G129" i="1"/>
  <c r="H129" i="1"/>
  <c r="G130" i="1"/>
  <c r="H130" i="1"/>
  <c r="G131" i="1"/>
  <c r="H131" i="1"/>
  <c r="G132" i="1"/>
  <c r="H132" i="1"/>
  <c r="G133" i="1"/>
  <c r="H133" i="1"/>
  <c r="G135" i="1"/>
  <c r="H135" i="1"/>
  <c r="G136" i="1"/>
  <c r="H136" i="1"/>
  <c r="G137" i="1"/>
  <c r="H137" i="1"/>
  <c r="G138" i="1"/>
  <c r="H138" i="1"/>
  <c r="G139" i="1"/>
  <c r="H139" i="1"/>
  <c r="G140" i="1"/>
  <c r="H140" i="1"/>
  <c r="H141" i="1"/>
  <c r="G142" i="1"/>
  <c r="H142" i="1"/>
  <c r="G143" i="1"/>
  <c r="H143" i="1"/>
  <c r="H147" i="1"/>
  <c r="M1" i="2"/>
  <c r="H15" i="2"/>
  <c r="G15" i="2"/>
  <c r="H14" i="2"/>
  <c r="G14" i="2"/>
  <c r="H13" i="2"/>
  <c r="G13" i="2"/>
  <c r="H12" i="2"/>
  <c r="G12" i="2"/>
  <c r="H11" i="2"/>
  <c r="G11" i="2"/>
  <c r="H10" i="2"/>
  <c r="G10" i="2"/>
  <c r="H9" i="2"/>
  <c r="G9" i="2"/>
  <c r="H8" i="2"/>
  <c r="G8" i="2"/>
  <c r="H7" i="2"/>
  <c r="G7" i="2"/>
  <c r="H6" i="2"/>
  <c r="G6" i="2"/>
  <c r="H5" i="2"/>
  <c r="G5" i="2"/>
  <c r="H4" i="2"/>
  <c r="G4" i="2"/>
  <c r="H3" i="2"/>
  <c r="G3" i="2"/>
  <c r="H2" i="2"/>
  <c r="G2" i="2"/>
  <c r="I1" i="2"/>
  <c r="G1" i="2" s="1"/>
  <c r="L1" i="2" l="1"/>
  <c r="H1" i="2"/>
  <c r="M5" i="1"/>
  <c r="G38" i="1"/>
  <c r="G41" i="1"/>
  <c r="I152" i="1"/>
  <c r="G159" i="1" s="1"/>
  <c r="H113" i="1"/>
  <c r="H21" i="1"/>
  <c r="H25" i="1"/>
  <c r="H117" i="1"/>
  <c r="G37" i="1"/>
  <c r="H22" i="1"/>
  <c r="H114" i="1"/>
  <c r="H32" i="1"/>
  <c r="P9" i="1"/>
  <c r="P6" i="1"/>
  <c r="P5" i="1"/>
  <c r="O7" i="1"/>
  <c r="Q7" i="1" s="1"/>
  <c r="G152" i="1" l="1"/>
  <c r="G160" i="1" s="1"/>
  <c r="H159" i="1"/>
  <c r="H152" i="1"/>
  <c r="O9" i="1"/>
  <c r="Q9" i="1" s="1"/>
  <c r="O5" i="1"/>
  <c r="Q5" i="1" s="1"/>
  <c r="O6" i="1"/>
  <c r="Q6" i="1" s="1"/>
  <c r="O8" i="1"/>
  <c r="Q8" i="1" s="1"/>
  <c r="H160" i="1" l="1"/>
</calcChain>
</file>

<file path=xl/sharedStrings.xml><?xml version="1.0" encoding="utf-8"?>
<sst xmlns="http://schemas.openxmlformats.org/spreadsheetml/2006/main" count="296" uniqueCount="190">
  <si>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</si>
  <si>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</si>
  <si>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</si>
  <si>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</si>
  <si>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</si>
  <si>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</si>
  <si>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</si>
  <si>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</si>
  <si>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</si>
  <si>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</si>
  <si>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</si>
  <si>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 xml:space="preserve">Amount for 1/3 allocation </t>
  </si>
  <si>
    <t xml:space="preserve">Amount for 2/3 allocation </t>
  </si>
  <si>
    <t xml:space="preserve">Total allocation </t>
  </si>
  <si>
    <t>ARP ESSER BUDGET NARRATIVE FORM</t>
  </si>
  <si>
    <t>ARP ESSER Lump Sum DOE 101</t>
  </si>
  <si>
    <t>TAPS Number 
22A-175</t>
  </si>
  <si>
    <t>Vocabulary.com</t>
  </si>
  <si>
    <t>Acaletics for Middle Schools</t>
  </si>
  <si>
    <t>Acaletics for High Schools</t>
  </si>
  <si>
    <t>World Book</t>
  </si>
  <si>
    <t>CART Program. SafeServe Certification exams and curriculum. (One classroom DVD set @ $575.00, 35 student books and test vouchers @ $68.00 each, 65 additional student exam codes @ $36.00 each).</t>
  </si>
  <si>
    <t xml:space="preserve">Supplies. Kids Spark Science Kits for ESOL and Migrant Middle School Summer Programs. (40 units x $800.00) </t>
  </si>
  <si>
    <t>Supplies. Vocabulary Workshop Kits from Teacher Created Materials for ESOL afterschool tutoring held at 25 schools. (Est. 75 units x $450.00)</t>
  </si>
  <si>
    <t>Technology-Related Rentals. Programs to be employed during afterschool/summer tutoring activities for Students with Disabilities: MindPlay Virtual Reading Coach, MindPlay Literacy, Ascend Math Elementary - High School, Professional Training. All licenses are valid through August 15, 2024. Quote by Destination Knowledge.</t>
  </si>
  <si>
    <t>Other Purchased Services:  Printing for ESE teachers providing afterschool/summer tutoring.</t>
  </si>
  <si>
    <t xml:space="preserve">Technology Related Supplies: headphones for student use during afterschool/summer tutoring (approximately  $25.00 each) ESE Students and ELL </t>
  </si>
  <si>
    <t>Transportation. Increases access to services. (estimated at $100/day for 4 days/week for 126 weeks for 43 sites). ALL AREAS</t>
  </si>
  <si>
    <t xml:space="preserve">Other Certified. Dual Language Specialist to support the growing dual language programs and assist the dual language teachers with planning, modeling, and providing training. This is a 12-month position budgeted for two years. </t>
  </si>
  <si>
    <t>Library Books. Picture dictionaries for newcomer ELLs with gaps in education. (200 units x $25.00)</t>
  </si>
  <si>
    <t>Library Books. Content area dictionaries for secondary ELLs. (500 units x $22.00)</t>
  </si>
  <si>
    <t xml:space="preserve">Supplies. Books (not library quality) to create libraries for dual language classrooms to support 4 schools and 4 grade levels. Funds will support two years of programming.  </t>
  </si>
  <si>
    <t xml:space="preserve">Transportation. For 40 school sites to engage in career exploration, 4 hours per day @ $100/day. </t>
  </si>
  <si>
    <t>F</t>
  </si>
  <si>
    <t xml:space="preserve">NCH for 3 Psychologists, 10 hours each, for 3 weeks over the summer. To administer second grade district-wide gifted screening </t>
  </si>
  <si>
    <t>District-wide gifted screening for second graders</t>
  </si>
  <si>
    <t>Retirement for Psychologist NCH</t>
  </si>
  <si>
    <t>FICA for Psychologist NCH</t>
  </si>
  <si>
    <t>Workers Compensation' for Psychologist NCH</t>
  </si>
  <si>
    <t xml:space="preserve">School Network Infrastructure (31 School Sites) </t>
  </si>
  <si>
    <t>Private LTE - Broadband Connectivity</t>
  </si>
  <si>
    <t>Charter School Allocations</t>
  </si>
  <si>
    <t xml:space="preserve">Indirect Costs </t>
  </si>
  <si>
    <t>Furniture, Fixtures and Equipment. Install industrial fans to increase ventilation in Warehouse</t>
  </si>
  <si>
    <t>Princeton Review SAT Premium Preparation 2021 Guide: Although 10th grade students did not have the opportunity to take the 10th grade Reading FSA during the 2019/2020 school year, those students are still responsible for passing the reading portion of the FSA or receive a concordant score from the SAT or ACT to graduate.   Many of those students are struggling readers who are assigned to an intensive reading course and need support preparing for these assessments.  Princeton Review SAT Premium Preparation 2021 Guide will provide practice tests and proven techniques to support teachers and students as they prepare for the SAT in an effort to achieve a concordant reading score to meet graduation requirements. These guides will be distributed across schools to be utilized as class sets in a grades 11 and 12 intensive reading classrooms.</t>
  </si>
  <si>
    <t>The Official ACT Preparation Guide 2020-2021: Although 10th grade students did not have the opportunity to take the 10th grade Reading FSA during the 2019/2020 school year, those students are still responsible for passing the reading portion of the FSA or receive a concordant score from the SAT or ACT to graduate.   Many of those students are struggling readers who are assigned to an intensive reading course and need support preparing for these assessments.  The Official ACT Preparation Guide will provide practice tests and proven techniques to support teachers and students as they prepare for the ACT in an effort to achieve a concordant reading score to meet graduation requirements. These guides will be distributed across schools to be utilized as class sets in a grades 11 and 12 intensive reading classrooms.</t>
  </si>
  <si>
    <t>Nearpod: 6-12 An online interactive program that utilizes formative assessments to drive insights into student learning. Includes adaptive instruction in real time with in-the-moment feedback. Builds authentic connections for students through checkpoints and activities focusing on social and emotional well-being. Assists students in building background knowledge and topic engagement.                                                           And the following Elementary Schools: Williams, Freedom, Miller, Bashaw, Tara, Braden River</t>
  </si>
  <si>
    <t xml:space="preserve">Teacher Toolbox for online instructional platform: A digital collection from which teachers can draw relevant, standards-based resources to introduce new concepts, reteach standards, or help students learn prerequisite skills from earlier grades in both ELA and Mathematics.  It is an easy-to-navigate platform that provides a complete set of K–8 instructional resources for Mathematics, Reading, and Writing alongside multimedia content, discourse supports, and assessment practice.  </t>
  </si>
  <si>
    <t xml:space="preserve">Summer Professional Development for the Teaching and Learning Conference: Research suggests that seminars and workshops can be a highly effective means of sharing information and expanding educators' knowledge and skills, especially when paired with collaborative planning, structured opportunities for practice with feedback, and follow-up coaching (Gusky, 2014). Teachers will receive 4 days of professional learning. Each day will consist of 6 hours of training with paid stipends at $15.00 per hour for approximately 400 K-12 educators. Training will align with the Manatee County Strategic Plan goal to establish professional learning systems to advance continuous academic improvements. </t>
  </si>
  <si>
    <t xml:space="preserve">Professional Development (NCH) for Teachers for ELA and Math B.E.S.T. Standards: Continuous trainings for K-12 teachers will be offered throughout the school year that will focus on the implementation of the Florida B.E.S.T. Standards outside of teacher contracted hours for ELA and Mathematics. These professional learning opportunities will promote collective responsibility for student achievement, narrow the achievement gap, and will build educator capacity in the areas of curriculum and instruction. The goals of the training align with the Manatee County Strategic Plan. </t>
  </si>
  <si>
    <t>Diagnostic Assessment for PreK-12 Dependent on what the state mandates and/or provides for progress monitoring, we will plan the selection of meaningful and research-based diagnostic tools that can be used for all students</t>
  </si>
  <si>
    <t>COVID Supplies for all school sites</t>
  </si>
  <si>
    <t xml:space="preserve">Textbook adoption </t>
  </si>
  <si>
    <t>COVID Claims</t>
  </si>
  <si>
    <t>Classroom Teacher. Program PIE (Positive Interventions in Education). Two years salary. This is an expansion of our current alternative to out of school suspension program. Currently, the district operates 1 elementary and 1 secondary program. This initiative would add a 2nd secondary program to serve north county students.</t>
  </si>
  <si>
    <t>Teacher Assistant. Program PIE (Positive Interventions in Education) Two years salary. This is an expansion of our current alternative to out of school suspension program. Currently, the district operates 1 elementary and 1 secondary program. This initiative would add a 2nd secondary program to serve north county students.</t>
  </si>
  <si>
    <t xml:space="preserve">Classroom Teacher. Non-contracted Hourly. CART Program. This program centers on the identification of potential career fields for students, the delivery of employability or “soft” skills, and the attainment of industry certifications such as SafeServ Manager training. This will assist student in obtaining managerial-level positions within our flourishing service industry. The course will be connected to other district alternative programs, that include Learning Is For Everyone (LIFE), Teen Age Parenting Program (TAPP), and Impact, and is operated 5 days a week for 1 hour per day. </t>
  </si>
  <si>
    <t>Reading Paraprofessionals for intensive high and middle schools, to assist with facilitating small group, direct instruction. Working with foundational reading skills, which are more evident post Covid due to gaps in learning, and is a larger challenge in reading classrooms in both middle and high schools. Paras will allow for a stronger learning environment.</t>
  </si>
  <si>
    <t>All benes</t>
  </si>
  <si>
    <t>NCH</t>
  </si>
  <si>
    <t xml:space="preserve">Classroom Teachers for Intensive Reading and Math Remediation classes. Carrying over from ESSER II. </t>
  </si>
  <si>
    <t>Paraprofessional Full-Time Classroom Subs. Carrying over from ESSER II</t>
  </si>
  <si>
    <t xml:space="preserve">Other Certified Salaries - School Social Workers for SY 22-23 and 23-24, carrying over from ESSER II. </t>
  </si>
  <si>
    <t>Other Certified Salaries - School Counselors for the 22-23 SY and 23-24 SY, carrying over from ESSER II</t>
  </si>
  <si>
    <t xml:space="preserve">Middle School Reading Paraprofessionals for SY 22-23 and 23-24, carrying over from ESSER II. </t>
  </si>
  <si>
    <t xml:space="preserve">Classroom Teachers for ESOL Resource Classrooms. SY 22-23 and 23-24, carrying over from ESSER II. </t>
  </si>
  <si>
    <t xml:space="preserve">Administrator and Grant Mgmt. Positions, assigned to manage and oversee ESSER and COVID grants during FY 22/23 and 23/24, carrying over from ESSER II. </t>
  </si>
  <si>
    <t xml:space="preserve">Reading Coaches, currently employed and additional to cover more schools in the district. </t>
  </si>
  <si>
    <t>MTSS supplement for MTSS rep at every elementary and middle school</t>
  </si>
  <si>
    <t xml:space="preserve">Non-Contracted Hourly funds to write new K-12 curriculum maps- (3-5 teachers per team, 3 full days) Curriculum maps need to be written for grades K-12 in reading and math. Additionally, maps are needed in secondary to address updates in social studies. B.E.S.T. Standards address skills, standards, vocabulary that should be mastered prior to teaching course standards. Data illustrates gaps in student mastery. Curriculum maps need to address not only the standards for each area, but interventions to use when gaps are noted. </t>
  </si>
  <si>
    <t>Non-Contracted Hourly for Teachers and Paraprofessionals, working a VPK Summer Booster program. For children who completed VPK, but are not yet kindergarten ready.  This summer program will build their proficiency and achievement level.</t>
  </si>
  <si>
    <t xml:space="preserve">Supplies and Materials to align with the summer curricular document and goals, and to support the VPK Summer Booster program which is for students that have completed VPK but are not yet kindergarten ready. </t>
  </si>
  <si>
    <t>Retirement for 5200 function NCH @ 10.82%</t>
  </si>
  <si>
    <t>FICA for 5200 function NCH @ 7.65%</t>
  </si>
  <si>
    <t>Custodial Substitutes</t>
  </si>
  <si>
    <t>Teacher mentor plan: Non Contracted Hourly. Assist with supporting new teachers in both a highly effective learning environment and supporting student learning through data analysis and lesson planning.</t>
  </si>
  <si>
    <t xml:space="preserve">Transportation Coordinator. One year only. </t>
  </si>
  <si>
    <t>Non Contracted Hourly for Soar In 4: Soar in 4 is Manatee County’s monthly movement to ensure all early learners and their families have the opportunities and support they need for success in preschool, school and beyond. Soar in 4 is a collaborative effort to ensure all children are reading on grade level by the end of third grade, by focusing on 15 economically disadvantaged neighborhoods. This NCH pay will allow for a Soar in 4 event at each school, using teachers/paras from each school to facilitate interactive learning engagements.</t>
  </si>
  <si>
    <t xml:space="preserve">Non Contracted Hourly for Classroom Teacher. Program MORRE (Mentoring and Objective Reflection &amp; Restorative Education). School staff will work one-on-one with at risk students who are suspended from school, after school, to forgive out of school suspension days. NCH up to $40.00 per hour for 1 hour each day in elementary schools and 2 hours each day in secondary schools. Inclusive of all students. </t>
  </si>
  <si>
    <t>Dues &amp; Fees. To offer the PSAT during the school day to every 8th grade student.</t>
  </si>
  <si>
    <t>FASA Conference Travel</t>
  </si>
  <si>
    <t xml:space="preserve">Teacher Mentor Plan: Substitute Pay. </t>
  </si>
  <si>
    <t xml:space="preserve">Teacher Mentor Plan: Stipends of $1,242 x 53 Teachers, allowing one teacher per school. </t>
  </si>
  <si>
    <t>Non Contracted Hourly. New Teacher orientation/ induction: Orientation provides interaction with members of the school district to ensure a successful start to the school year. Induction provides ongoing support in the areas of the Danielson Framework to ensure thoughtful planning, environments conducive to learning, rigorous, standards-based instruction, and professional standards are understood and upheld.</t>
  </si>
  <si>
    <t xml:space="preserve">Guided Reading Assessment. Materials for K-2. </t>
  </si>
  <si>
    <t xml:space="preserve">20-23 Leadership Conference. Fees for contracting speakers and speaker travel. </t>
  </si>
  <si>
    <t xml:space="preserve">Travel for School Admin to attend any leadership training. </t>
  </si>
  <si>
    <t xml:space="preserve">Facility Rental Fees for the 20-23 Leadership Conference. </t>
  </si>
  <si>
    <t>Contracted Services for Soar in 4: Soar in 4 is Manatee County’s monthly movement to ensure all early learners and their families have the opportunities and support they need for success in preschool, school and beyond. Soar in 4 partners with 20 agencies who will provide interactive and standards-based learning engagements in after school programs at each of our Title I schools throughout the year, to include Mote Marine, Ringling College, Ringling Museum, The Bishop and more.</t>
  </si>
  <si>
    <t>Noncapitalized Computer Hardware. Expansion of Program PIE (Positive Interventions in Education). Staff laptops. (2 units x $766.50)</t>
  </si>
  <si>
    <t>Noncontracted hourly for ESE Paraprofessionals to support afterschool/summer tutoring activities for Students with Disabilities.</t>
  </si>
  <si>
    <t xml:space="preserve">Secondary ELA Specialist </t>
  </si>
  <si>
    <t>Retirement for function 6300 positions 10.82%</t>
  </si>
  <si>
    <t>FICA for function 6300 positions 7.65%</t>
  </si>
  <si>
    <t>Health Insurance for function 6300 positions 13.25%</t>
  </si>
  <si>
    <t>Workers' Compensation for function 6300 positions 1.00%</t>
  </si>
  <si>
    <t>Life Insurance for functions 6300 positions 0.22%</t>
  </si>
  <si>
    <t>FASA Conference Registrations and Fees</t>
  </si>
  <si>
    <t>Retirement for all salaries, function 6400 10.82%</t>
  </si>
  <si>
    <t>FICA for all salaries function 6400 7.65%</t>
  </si>
  <si>
    <t>Health Insurance for all salaries function 6400 that are applicable 13.25%</t>
  </si>
  <si>
    <t>Life Insurance for all applicable salaries function 6400 0.22%</t>
  </si>
  <si>
    <t>Workers Compensation for all salaries function 6400 1.00%</t>
  </si>
  <si>
    <t xml:space="preserve">Contracted Services for Leadership Training, Coaching, and Mentoring for Assistant Principals or AP Leadership Development: enhance and update the leadership development program to include a systematic approach for leadership success and succession. </t>
  </si>
  <si>
    <t xml:space="preserve">Custodial Training. Hire a Trainer to come in and teach new cleaning techniques to current custodial staff. </t>
  </si>
  <si>
    <t>Reimagine 3rd grade retained students:  Provide NCH for summer boot camp that will lead to deep learning and application for 3rd grade academy teachers and paraprofessionals. Use innovative and research-based materials and instruction to improve reading proficiency for our retained third grade students.</t>
  </si>
  <si>
    <t xml:space="preserve">Classroom Teachers. 11 Month. Third Grade Reading Academy. </t>
  </si>
  <si>
    <t xml:space="preserve">Classroom Paraprofessionals. Third Grade Reading Academy. </t>
  </si>
  <si>
    <t xml:space="preserve">Non Contracted Hourly. School Based Extended Instruction </t>
  </si>
  <si>
    <t xml:space="preserve">Supplies for School Based Extended Instruction </t>
  </si>
  <si>
    <t xml:space="preserve">Tech Related Supplies for School Based Extended Instruction </t>
  </si>
  <si>
    <t xml:space="preserve">Textbooks for School Based Extended Instruction </t>
  </si>
  <si>
    <t xml:space="preserve">Early Learning Registrar for 2.5 years. </t>
  </si>
  <si>
    <t xml:space="preserve">SNAP Health Center. A secure electronic health record system, designed to specifically manage school health programs. SNAP Health surveillance feature set is uniquely designed to support schools during the COVID-19 pandemic. </t>
  </si>
  <si>
    <t>Contracted Services. Solution Tree. Professional Learning Community (PLC) training for leadership: Formation of professional learning communities to disseminate information at school sites. Provide training for each. Principal or AP ($3994) and select a customized PD for leadership PLC overview for a cohort (principal task force) to present and train their peers during principal meetings, on each agenda.</t>
  </si>
  <si>
    <t xml:space="preserve">Supplies &amp; Materials for Leadership Training, Coaching, and Mentoring for Assistant Principals or AP Leadership Development: enhance and update the leadership development program to include a systematic approach for leadership success and succession. This plan addresses the following areas of the strategic plan: inclusive culture and engagement (goals 1, 2); equitable recruitment and retention (goal 4). This proposal covers of expenditures that was once paid for through the leadership grant (appx 110k per year), which we are no longer receiving due to COVID-19.     </t>
  </si>
  <si>
    <t xml:space="preserve">Custodial Supplies, to clean and sanitize district facilities. </t>
  </si>
  <si>
    <t xml:space="preserve">Custodial FF&amp;E Furniture, Fixtures and Equipment to replace larger items, that clean and sanitize the district facilities. Items like commercial wet/dry vacs, floor scrubbers, dehumidifiers, extractors. </t>
  </si>
  <si>
    <t>Contract with Headstart to provide 5 hrs.(5 AM - 10 AM) of childcare services for MCSD Bus Drivers at Matzke Center. $20 per hr. X 5hrs X 180 day X 3 headstart childcare workers.</t>
  </si>
  <si>
    <t xml:space="preserve">Disaster Relief Payments </t>
  </si>
  <si>
    <t>Disaster Relief Payments ER Benefits - 15.3%</t>
  </si>
  <si>
    <t>Workers' Compensation for 5200 function NCH 1.00%</t>
  </si>
  <si>
    <t>FICA for Registrar 7.65%</t>
  </si>
  <si>
    <t>Health Insurance for Registrar 13.25%</t>
  </si>
  <si>
    <t>Retirement for Registrar 10.82%</t>
  </si>
  <si>
    <t>Life Insurance for Registrar 0.22%</t>
  </si>
  <si>
    <t>Worker's Compensation for Registrar 1.00%</t>
  </si>
  <si>
    <t>Retirement for School Social Workers 10.82%</t>
  </si>
  <si>
    <t>FICA for School Social Workers 7.65%</t>
  </si>
  <si>
    <t>Health Insurance for School Social Workers 13.25%</t>
  </si>
  <si>
    <t>Life Insurance for School Social Workers 0.22%</t>
  </si>
  <si>
    <t>Workers' Compensation for School Social Workers 1.00%</t>
  </si>
  <si>
    <t>Retirement for School Counselors 10.82%</t>
  </si>
  <si>
    <t>FICA for School Counselors 7.65%</t>
  </si>
  <si>
    <t>Health Insurance for School Counselors 13.25%</t>
  </si>
  <si>
    <t>Life Insurance for School Counselors 0.22%</t>
  </si>
  <si>
    <t>Workers' Compensation for School Counselors 1.00%</t>
  </si>
  <si>
    <t>Retirement for Grant Admin positions 10.82%</t>
  </si>
  <si>
    <t>FICA for Grant Admin positions 7.65%</t>
  </si>
  <si>
    <t>Health Insurance for Grant Admin positions 13.25%</t>
  </si>
  <si>
    <t>Life Insurance for Grant Admin positions 0.22%</t>
  </si>
  <si>
    <t>Workers' Compensation for Grant Admin positions 1.00%</t>
  </si>
  <si>
    <t>Retirement for Transportation Coordinator 10.82%</t>
  </si>
  <si>
    <t>FICA for Transportation Coordinator 7.65%</t>
  </si>
  <si>
    <t>Health Insurance for Transportation Coordinator 13.25%</t>
  </si>
  <si>
    <t>Life Insurance for Transportation Coordinator 0.22%</t>
  </si>
  <si>
    <t>Workers Compensation' for Transportation Coordinator 1.00%</t>
  </si>
  <si>
    <t>2(F)</t>
  </si>
  <si>
    <t xml:space="preserve">2(F) </t>
  </si>
  <si>
    <t>2(D)</t>
  </si>
  <si>
    <t>1-6; 1-4</t>
  </si>
  <si>
    <t>2(K)</t>
  </si>
  <si>
    <t>2(G)</t>
  </si>
  <si>
    <t>2(M)</t>
  </si>
  <si>
    <t>1,2</t>
  </si>
  <si>
    <t>2(N)</t>
  </si>
  <si>
    <t xml:space="preserve">Classroom Teachers. Noncontracted hourly for ESE Certified Teachers to deliver afterschool/summer tutoring for Students with Disabilities. </t>
  </si>
  <si>
    <t>Supplies. To support afterschool/summer tutoring program for Students with Disabilities. Estimating 780 elementary and middle school students to be served at 43 school sites. Supplies will include chart paper, pencils, markers, notebooks, glue sticks, crayons and consumable materials.</t>
  </si>
  <si>
    <t>2(L)</t>
  </si>
  <si>
    <t>2(R)</t>
  </si>
  <si>
    <t>3-5</t>
  </si>
  <si>
    <t>2(S)</t>
  </si>
  <si>
    <t>1, 2</t>
  </si>
  <si>
    <t>2(E)</t>
  </si>
  <si>
    <t>2(I)</t>
  </si>
  <si>
    <t>2(H)</t>
  </si>
  <si>
    <t>2(P)</t>
  </si>
  <si>
    <t>Classroom Teacher. Program PIE (Positive Interventions in Education). Two years' salary. This is an expansion of our current alternative to out of school suspension program. Currently, the district operates 1 elementary and 1 secondary program. This initiative would add a 2nd secondary program to serve north county students.</t>
  </si>
  <si>
    <t>Teacher Assistant. Program PIE (Positive Interventions in Education) Two years' salary. This is an expansion of our current alternative to out of school suspension program. Currently, the district operates 1 elementary and 1 secondary program. This initiative would add a 2nd secondary program to serve north county students.</t>
  </si>
  <si>
    <t>Professional Development Opportunities for Secondary adoption of BEST standards grades 6-12, to include intensive reading teachers, BEST champions, and other content areas to include Reading Coaches: Professional development opportunities will be offered throughout the school year that will focus on the implementation of the B.E.S.T. Standards.  The professional learning opportunities will build teacher capacity in the areas of intervention curriculum, progress monitoring, and best practices in instruction.   Professional development opportunities for Secondary will occur outside of teacher contracted hours throughout the school year. The second year allocation will include professional development for year 2 of BEST standards implementation.</t>
  </si>
  <si>
    <t>2(J), 2(N)</t>
  </si>
  <si>
    <t>1, 5</t>
  </si>
  <si>
    <t>Acaletics for 3rd, 4th and 5th Grades</t>
  </si>
  <si>
    <t xml:space="preserve">A) Manatee County School District 
     Name of Eligible Recipient </t>
  </si>
  <si>
    <t>2 (F)</t>
  </si>
  <si>
    <t>1  w/o NCH</t>
  </si>
  <si>
    <t>1 NCH</t>
  </si>
  <si>
    <t>2(F) w/o NCH</t>
  </si>
  <si>
    <t>2(F) NCH</t>
  </si>
  <si>
    <t xml:space="preserve">Contracted Services. Substitute Pay. $143/day over the course of the grant period, including elementary and middle schools, for career exploration @ MTC. </t>
  </si>
  <si>
    <t>Retirement for all function 5100 salaries above, including NCH. 10.82%. Use of Funds #1</t>
  </si>
  <si>
    <t>FICA for all function 5100 salaries above, including NCH. 7.65%. Use of Funds #1</t>
  </si>
  <si>
    <t>Health Insurance for all function 5100 salaries above, excluding NCH. 13.25%. Use of Funds #1</t>
  </si>
  <si>
    <t>Life Insurance for all function 5100 salaries, excluding NCH. 0.22%. Use of Funds #1</t>
  </si>
  <si>
    <t>Workers' Compensation for all function 5100 salaries above. 1.00%. Use of Funds #1</t>
  </si>
  <si>
    <t>Retirement for all function 5100 salaries above, including NCH. 10.82%. Use of Funds #2F</t>
  </si>
  <si>
    <t>FICA for all function 5100 salaries above, including NCH. 7.65%. Use of Funds #2F</t>
  </si>
  <si>
    <t>Health Insurance for all function 5100 salaries above, excluding NCH. 13.25%. Use of Funds #2F</t>
  </si>
  <si>
    <t>Life Insurance for all function 5100 salaries, excluding NCH. 0.22%. Use of Funds #2F</t>
  </si>
  <si>
    <t>Workers' Compensation for all function 5100 salaries above. 1.00%. Use of Funds #2F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</si>
</sst>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4"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sz val="11"/>
      <color rgb="FFFF0000"/>
      <name val="Calibri"/>
      <family val="2"/>
      <scheme val="minor"/>
    </font>
    <font>
      <sz val="11"/>
      <color rgb="FF000000"/>
      <name val="Calibri"/>
      <family val="2"/>
      <scheme val="minor"/>
    </font>
    <font>
      <sz val="11"/>
      <name val="Calibri"/>
      <family val="2"/>
      <scheme val="minor"/>
    </font>
    <font>
      <sz val="11"/>
      <name val="Calibri"/>
      <family val="2"/>
    </font>
    <font>
      <sz val="11"/>
      <color rgb="FF000000"/>
      <name val="Calibri"/>
      <family val="2"/>
    </font>
    <font>
      <strike/>
      <sz val="1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3">
    <xf numFmtId="0" fontId="0" fillId="0" borderId="0" xfId="0"/>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0" fillId="0" borderId="0" xfId="0" applyFill="1"/>
    <xf numFmtId="0" fontId="8" fillId="0" borderId="1" xfId="0" applyFont="1" applyFill="1" applyBorder="1" applyAlignment="1">
      <alignment horizontal="right"/>
    </xf>
    <xf numFmtId="0" fontId="8" fillId="0" borderId="1" xfId="0" applyFont="1" applyFill="1" applyBorder="1" applyAlignment="1">
      <alignment vertical="top" wrapText="1"/>
    </xf>
    <xf numFmtId="0" fontId="9" fillId="0" borderId="1" xfId="0" applyFont="1" applyFill="1" applyBorder="1" applyAlignment="1">
      <alignment vertical="top" wrapText="1"/>
    </xf>
    <xf numFmtId="0" fontId="0" fillId="0" borderId="0" xfId="0" applyFill="1" applyAlignment="1"/>
    <xf numFmtId="0" fontId="6" fillId="0" borderId="0" xfId="0" applyFont="1" applyFill="1" applyAlignment="1"/>
    <xf numFmtId="0" fontId="6" fillId="0" borderId="0" xfId="0" applyFont="1" applyFill="1" applyAlignment="1">
      <alignment horizontal="right"/>
    </xf>
    <xf numFmtId="43" fontId="8" fillId="0" borderId="1" xfId="2" applyFont="1" applyFill="1" applyBorder="1" applyAlignment="1">
      <alignment horizontal="right"/>
    </xf>
    <xf numFmtId="43" fontId="9" fillId="0" borderId="1" xfId="2" applyFont="1" applyFill="1" applyBorder="1" applyAlignment="1">
      <alignment horizontal="right"/>
    </xf>
    <xf numFmtId="49" fontId="0" fillId="0" borderId="1" xfId="0" applyNumberFormat="1" applyFont="1" applyFill="1" applyBorder="1" applyAlignment="1">
      <alignment horizontal="left" vertical="top" wrapText="1"/>
    </xf>
    <xf numFmtId="0" fontId="0" fillId="0" borderId="1" xfId="0" applyFont="1" applyFill="1" applyBorder="1" applyAlignment="1">
      <alignment horizontal="right"/>
    </xf>
    <xf numFmtId="43" fontId="1" fillId="0" borderId="1" xfId="2" applyFont="1" applyFill="1" applyBorder="1" applyAlignment="1">
      <alignment horizontal="right"/>
    </xf>
    <xf numFmtId="0" fontId="0" fillId="0" borderId="1" xfId="0" applyFont="1" applyFill="1" applyBorder="1" applyAlignment="1">
      <alignment vertical="top" wrapText="1"/>
    </xf>
    <xf numFmtId="49" fontId="0" fillId="0" borderId="1" xfId="0" applyNumberFormat="1" applyFont="1" applyFill="1" applyBorder="1" applyAlignment="1">
      <alignment horizontal="left" vertical="top"/>
    </xf>
    <xf numFmtId="43" fontId="0" fillId="0" borderId="0" xfId="0" applyNumberFormat="1"/>
    <xf numFmtId="43" fontId="8" fillId="0" borderId="1" xfId="2" applyFont="1" applyFill="1" applyBorder="1" applyAlignment="1">
      <alignment horizontal="right" wrapText="1"/>
    </xf>
    <xf numFmtId="49" fontId="8" fillId="0" borderId="1" xfId="0" applyNumberFormat="1" applyFont="1" applyFill="1" applyBorder="1" applyAlignment="1">
      <alignment horizontal="left" vertical="top" wrapText="1"/>
    </xf>
    <xf numFmtId="43" fontId="11" fillId="0" borderId="1" xfId="2" applyFont="1" applyFill="1" applyBorder="1" applyAlignment="1">
      <alignment horizontal="right"/>
    </xf>
    <xf numFmtId="0" fontId="0" fillId="0" borderId="1" xfId="0" applyFont="1" applyFill="1" applyBorder="1" applyAlignment="1">
      <alignment vertical="center" wrapText="1"/>
    </xf>
    <xf numFmtId="0" fontId="8" fillId="0" borderId="1" xfId="0" applyFont="1" applyFill="1" applyBorder="1" applyAlignment="1">
      <alignment wrapText="1"/>
    </xf>
    <xf numFmtId="0" fontId="10" fillId="0" borderId="1" xfId="0" applyFont="1" applyFill="1" applyBorder="1" applyAlignment="1">
      <alignment vertical="top" wrapText="1"/>
    </xf>
    <xf numFmtId="0" fontId="9" fillId="0" borderId="1" xfId="0" applyFont="1" applyFill="1" applyBorder="1" applyAlignment="1">
      <alignment horizontal="right"/>
    </xf>
    <xf numFmtId="0" fontId="9" fillId="0" borderId="1" xfId="0" applyFont="1" applyFill="1" applyBorder="1" applyAlignment="1">
      <alignment vertical="center" wrapText="1"/>
    </xf>
    <xf numFmtId="43" fontId="10" fillId="0" borderId="1" xfId="2" applyFont="1" applyFill="1" applyBorder="1" applyAlignment="1">
      <alignment horizontal="right"/>
    </xf>
    <xf numFmtId="0" fontId="0" fillId="0" borderId="1" xfId="0" applyFont="1" applyFill="1" applyBorder="1" applyAlignment="1">
      <alignment horizontal="left" vertical="top" wrapText="1"/>
    </xf>
    <xf numFmtId="0" fontId="0" fillId="0" borderId="1" xfId="0" applyFont="1" applyFill="1" applyBorder="1" applyAlignment="1">
      <alignment horizontal="left"/>
    </xf>
    <xf numFmtId="44" fontId="1" fillId="0" borderId="1" xfId="1" applyFont="1" applyFill="1" applyBorder="1" applyAlignment="1">
      <alignment horizontal="right"/>
    </xf>
    <xf numFmtId="0" fontId="0" fillId="0" borderId="1" xfId="0" applyFont="1" applyFill="1" applyBorder="1" applyAlignment="1">
      <alignment horizontal="left" wrapText="1"/>
    </xf>
    <xf numFmtId="49" fontId="0" fillId="0" borderId="1" xfId="0" applyNumberFormat="1" applyFont="1" applyFill="1" applyBorder="1" applyAlignment="1">
      <alignment horizontal="left" wrapText="1"/>
    </xf>
    <xf numFmtId="0" fontId="0" fillId="0" borderId="3" xfId="0" applyFont="1" applyFill="1" applyBorder="1" applyAlignment="1">
      <alignment horizontal="right"/>
    </xf>
    <xf numFmtId="44" fontId="1" fillId="0" borderId="3" xfId="1" applyFont="1" applyFill="1" applyBorder="1" applyAlignment="1">
      <alignment horizontal="right"/>
    </xf>
    <xf numFmtId="43" fontId="0" fillId="0" borderId="0" xfId="2" applyFont="1"/>
    <xf numFmtId="43" fontId="0" fillId="0" borderId="0" xfId="2" applyFont="1" applyFill="1"/>
    <xf numFmtId="43" fontId="2" fillId="0" borderId="1" xfId="2" applyFont="1" applyFill="1" applyBorder="1" applyAlignment="1">
      <alignment horizontal="center" wrapText="1"/>
    </xf>
    <xf numFmtId="43" fontId="8" fillId="0" borderId="1" xfId="2" applyFont="1" applyFill="1" applyBorder="1" applyAlignment="1">
      <alignment horizontal="center" vertical="center"/>
    </xf>
    <xf numFmtId="43" fontId="12" fillId="0" borderId="1" xfId="2" applyFont="1" applyFill="1" applyBorder="1" applyAlignment="1">
      <alignment vertical="top" wrapText="1"/>
    </xf>
    <xf numFmtId="43" fontId="8" fillId="0" borderId="1" xfId="2" applyFont="1" applyFill="1" applyBorder="1" applyAlignment="1">
      <alignment horizontal="center" vertical="center" wrapText="1"/>
    </xf>
    <xf numFmtId="43" fontId="0" fillId="0" borderId="1" xfId="2" applyFont="1" applyFill="1" applyBorder="1" applyAlignment="1">
      <alignment vertical="center"/>
    </xf>
    <xf numFmtId="43" fontId="9" fillId="0" borderId="1" xfId="2" applyFont="1" applyFill="1" applyBorder="1" applyAlignment="1">
      <alignment vertical="top" wrapText="1"/>
    </xf>
    <xf numFmtId="43" fontId="8" fillId="0" borderId="1" xfId="2" applyFont="1" applyFill="1" applyBorder="1" applyAlignment="1">
      <alignment horizontal="center" wrapText="1"/>
    </xf>
    <xf numFmtId="43" fontId="0" fillId="0" borderId="1" xfId="2" applyFont="1" applyFill="1" applyBorder="1" applyAlignment="1">
      <alignment horizontal="center" vertical="center"/>
    </xf>
    <xf numFmtId="43" fontId="7" fillId="0" borderId="1" xfId="2" applyFont="1" applyFill="1" applyBorder="1" applyAlignment="1">
      <alignment horizontal="center" vertical="center"/>
    </xf>
    <xf numFmtId="43" fontId="9" fillId="0" borderId="1" xfId="2" applyFont="1" applyFill="1" applyBorder="1" applyAlignment="1">
      <alignment horizontal="center"/>
    </xf>
    <xf numFmtId="43" fontId="9" fillId="0" borderId="1" xfId="2" applyFont="1" applyFill="1" applyBorder="1" applyAlignment="1">
      <alignment horizontal="center" wrapText="1"/>
    </xf>
    <xf numFmtId="43" fontId="9" fillId="0" borderId="1" xfId="2" applyFont="1" applyFill="1" applyBorder="1" applyAlignment="1">
      <alignment horizontal="center" vertical="center"/>
    </xf>
    <xf numFmtId="43" fontId="8" fillId="0" borderId="1" xfId="2" applyFont="1" applyFill="1" applyBorder="1" applyAlignment="1">
      <alignment vertical="top" wrapText="1"/>
    </xf>
    <xf numFmtId="43" fontId="0" fillId="0" borderId="3" xfId="2" applyFont="1" applyFill="1" applyBorder="1" applyAlignment="1">
      <alignment horizontal="center" vertical="center"/>
    </xf>
    <xf numFmtId="43" fontId="6" fillId="0" borderId="0" xfId="2" applyFont="1" applyFill="1" applyAlignment="1"/>
    <xf numFmtId="0" fontId="0" fillId="0" borderId="0" xfId="0" applyFont="1" applyFill="1" applyBorder="1" applyAlignment="1">
      <alignment vertical="top" wrapText="1"/>
    </xf>
    <xf numFmtId="0" fontId="0" fillId="0" borderId="1" xfId="0" applyFont="1" applyFill="1" applyBorder="1" applyAlignment="1">
      <alignment horizontal="right" wrapText="1"/>
    </xf>
    <xf numFmtId="0" fontId="8" fillId="0" borderId="1" xfId="0" applyFont="1" applyFill="1" applyBorder="1" applyAlignment="1">
      <alignment horizontal="right" wrapText="1"/>
    </xf>
    <xf numFmtId="0" fontId="0" fillId="0" borderId="0" xfId="0" applyAlignment="1">
      <alignment wrapText="1"/>
    </xf>
    <xf numFmtId="43" fontId="11" fillId="0" borderId="1" xfId="2" applyFont="1" applyFill="1" applyBorder="1" applyAlignment="1">
      <alignment horizontal="right" wrapText="1"/>
    </xf>
    <xf numFmtId="43" fontId="7" fillId="0" borderId="1" xfId="2" applyFont="1" applyFill="1" applyBorder="1" applyAlignment="1">
      <alignment horizontal="center" vertical="center" wrapText="1"/>
    </xf>
    <xf numFmtId="43" fontId="1" fillId="0" borderId="1" xfId="2" applyFont="1" applyFill="1" applyBorder="1" applyAlignment="1">
      <alignment horizontal="right" wrapText="1"/>
    </xf>
    <xf numFmtId="43" fontId="9" fillId="0" borderId="1" xfId="2" applyFont="1" applyFill="1" applyBorder="1" applyAlignment="1">
      <alignment horizontal="right" wrapText="1"/>
    </xf>
    <xf numFmtId="43" fontId="0" fillId="0" borderId="1" xfId="2" applyFont="1" applyFill="1" applyBorder="1" applyAlignment="1">
      <alignment vertical="center" wrapText="1"/>
    </xf>
    <xf numFmtId="43" fontId="0" fillId="0" borderId="1" xfId="2" applyFont="1" applyFill="1" applyBorder="1" applyAlignment="1">
      <alignment horizontal="center" vertical="center" wrapText="1"/>
    </xf>
    <xf numFmtId="43" fontId="0" fillId="0" borderId="0" xfId="0" applyNumberFormat="1" applyAlignment="1">
      <alignment wrapText="1"/>
    </xf>
    <xf numFmtId="164" fontId="0" fillId="0" borderId="0" xfId="0" applyNumberFormat="1" applyFill="1"/>
    <xf numFmtId="164" fontId="13" fillId="0" borderId="1" xfId="1" applyNumberFormat="1" applyFont="1" applyFill="1" applyBorder="1"/>
    <xf numFmtId="0" fontId="0" fillId="0" borderId="1" xfId="0" applyBorder="1" applyAlignment="1">
      <alignment horizontal="right"/>
    </xf>
    <xf numFmtId="0" fontId="0" fillId="0" borderId="1" xfId="0" applyFill="1" applyBorder="1" applyAlignment="1">
      <alignment horizontal="right"/>
    </xf>
    <xf numFmtId="0" fontId="8" fillId="0" borderId="1" xfId="0" applyFont="1" applyBorder="1" applyAlignment="1">
      <alignment horizontal="right"/>
    </xf>
    <xf numFmtId="0" fontId="8" fillId="0" borderId="1" xfId="0" applyNumberFormat="1" applyFont="1" applyFill="1" applyBorder="1" applyAlignment="1">
      <alignment horizontal="right"/>
    </xf>
    <xf numFmtId="16" fontId="8" fillId="0" borderId="1" xfId="0" applyNumberFormat="1" applyFont="1" applyBorder="1" applyAlignment="1">
      <alignment horizontal="right"/>
    </xf>
    <xf numFmtId="0" fontId="0" fillId="0" borderId="10" xfId="0" applyBorder="1" applyAlignment="1">
      <alignment horizontal="right"/>
    </xf>
    <xf numFmtId="16" fontId="8" fillId="0" borderId="1" xfId="0" quotePrefix="1" applyNumberFormat="1" applyFont="1" applyFill="1" applyBorder="1" applyAlignment="1">
      <alignment horizontal="right"/>
    </xf>
    <xf numFmtId="16" fontId="8" fillId="0" borderId="1" xfId="0" quotePrefix="1" applyNumberFormat="1" applyFont="1" applyBorder="1" applyAlignment="1">
      <alignment horizontal="right"/>
    </xf>
    <xf numFmtId="43" fontId="0" fillId="0" borderId="0" xfId="2" applyFont="1" applyAlignment="1">
      <alignment horizontal="right"/>
    </xf>
    <xf numFmtId="0" fontId="0" fillId="0" borderId="0" xfId="2" applyNumberFormat="1" applyFont="1" applyAlignment="1">
      <alignment horizontal="right"/>
    </xf>
    <xf numFmtId="0" fontId="8" fillId="0" borderId="10" xfId="0" applyFont="1" applyFill="1" applyBorder="1" applyAlignment="1">
      <alignment horizontal="right"/>
    </xf>
    <xf numFmtId="0" fontId="9" fillId="0" borderId="0" xfId="0" applyFont="1" applyFill="1" applyBorder="1" applyAlignment="1">
      <alignment vertical="top" wrapText="1"/>
    </xf>
    <xf numFmtId="49" fontId="0" fillId="0" borderId="3" xfId="0" applyNumberFormat="1" applyFont="1" applyFill="1" applyBorder="1" applyAlignment="1">
      <alignment horizontal="left" wrapText="1"/>
    </xf>
    <xf numFmtId="0" fontId="0" fillId="0" borderId="0" xfId="2" applyNumberFormat="1" applyFont="1" applyAlignment="1">
      <alignment horizontal="center"/>
    </xf>
    <xf numFmtId="43" fontId="0" fillId="0" borderId="0" xfId="2" applyFont="1" applyAlignment="1">
      <alignment horizontal="center"/>
    </xf>
    <xf numFmtId="43" fontId="0" fillId="2" borderId="0" xfId="0" applyNumberFormat="1" applyFill="1"/>
    <xf numFmtId="0" fontId="0" fillId="0" borderId="0" xfId="0" applyFill="1" applyAlignment="1">
      <alignment horizontal="center" wrapText="1"/>
    </xf>
    <xf numFmtId="0" fontId="6" fillId="0" borderId="0" xfId="0" applyFont="1" applyFill="1" applyAlignment="1">
      <alignment horizontal="center"/>
    </xf>
    <xf numFmtId="0" fontId="3" fillId="0" borderId="0"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2" xfId="0" applyFont="1" applyFill="1" applyBorder="1" applyAlignment="1">
      <alignment horizontal="right" vertical="center"/>
    </xf>
    <xf numFmtId="0" fontId="3" fillId="0" borderId="4" xfId="0" applyFont="1" applyFill="1" applyBorder="1" applyAlignment="1">
      <alignment horizontal="right" vertical="center"/>
    </xf>
    <xf numFmtId="0" fontId="6" fillId="0" borderId="0" xfId="0" applyFont="1" applyFill="1" applyAlignment="1">
      <alignment horizontal="left"/>
    </xf>
    <xf numFmtId="0" fontId="5" fillId="0" borderId="0" xfId="0" applyFont="1" applyFill="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153</xdr:row>
      <xdr:rowOff>1077</xdr:rowOff>
    </xdr:from>
    <xdr:to>
      <xdr:col>8</xdr:col>
      <xdr:colOff>950594</xdr:colOff>
      <xdr:row>155</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61"/>
  <sheetViews>
    <sheetView tabSelected="1" zoomScaleNormal="100" workbookViewId="0">
      <pane ySplit="9" topLeftCell="A135" activePane="bottomLeft" state="frozen"/>
      <selection pane="bottomLeft" activeCell="I9" sqref="I9"/>
    </sheetView>
  </sheetViews>
  <sheetFormatPr baseColWidth="10" defaultColWidth="8.83203125" defaultRowHeight="15" x14ac:dyDescent="0.2"/>
  <cols>
    <col min="1" max="1" width="8.83203125" style="3" bestFit="1" customWidth="1"/>
    <col min="2" max="2" width="7.1640625" style="3" customWidth="1"/>
    <col min="3" max="3" width="10.1640625" style="3" customWidth="1"/>
    <col min="4" max="4" width="9.83203125" style="3" customWidth="1"/>
    <col min="5" max="5" width="42.83203125" style="3" customWidth="1"/>
    <col min="6" max="6" width="8.1640625" style="35" bestFit="1" customWidth="1"/>
    <col min="7" max="9" width="21.5" style="3" customWidth="1"/>
    <col min="10" max="10" width="13.83203125" bestFit="1" customWidth="1"/>
    <col min="11" max="11" width="10.5" bestFit="1" customWidth="1"/>
    <col min="12" max="12" width="12" bestFit="1" customWidth="1"/>
    <col min="13" max="13" width="14.1640625" bestFit="1" customWidth="1"/>
    <col min="15" max="15" width="15" style="34" bestFit="1" customWidth="1"/>
    <col min="16" max="16" width="13.1640625" style="34" bestFit="1" customWidth="1"/>
    <col min="17" max="17" width="13.1640625" bestFit="1" customWidth="1"/>
  </cols>
  <sheetData>
    <row r="1" spans="1:17" ht="15" customHeight="1" x14ac:dyDescent="0.2">
      <c r="A1" s="82" t="s">
        <v>173</v>
      </c>
      <c r="B1" s="82"/>
      <c r="C1" s="82"/>
      <c r="D1" s="82"/>
      <c r="H1" s="83" t="s">
        <v>16</v>
      </c>
      <c r="I1" s="84"/>
    </row>
    <row r="2" spans="1:17" x14ac:dyDescent="0.2">
      <c r="A2" s="82"/>
      <c r="B2" s="82"/>
      <c r="C2" s="82"/>
      <c r="D2" s="82"/>
      <c r="H2" s="85"/>
      <c r="I2" s="86"/>
      <c r="O2" s="34" t="s">
        <v>58</v>
      </c>
      <c r="P2" s="34" t="s">
        <v>59</v>
      </c>
    </row>
    <row r="3" spans="1:17" ht="15" customHeight="1" x14ac:dyDescent="0.2">
      <c r="A3" s="82" t="s">
        <v>8</v>
      </c>
      <c r="B3" s="82"/>
      <c r="C3" s="82"/>
      <c r="D3" s="82"/>
      <c r="H3" s="87"/>
      <c r="I3" s="88"/>
      <c r="L3" s="77" t="s">
        <v>175</v>
      </c>
      <c r="M3" s="17">
        <f>I10+I11+I12+I13+I14+I15+I16</f>
        <v>11226478.190000001</v>
      </c>
      <c r="O3" s="34">
        <v>178458</v>
      </c>
      <c r="P3" s="34">
        <v>248103</v>
      </c>
    </row>
    <row r="4" spans="1:17" x14ac:dyDescent="0.2">
      <c r="A4" s="82"/>
      <c r="B4" s="82"/>
      <c r="C4" s="82"/>
      <c r="D4" s="82"/>
      <c r="L4" s="78" t="s">
        <v>176</v>
      </c>
      <c r="M4" s="17">
        <f>+I17+I18+I19+I20</f>
        <v>1851606.3900000001</v>
      </c>
    </row>
    <row r="5" spans="1:17" x14ac:dyDescent="0.2">
      <c r="L5" s="78" t="s">
        <v>177</v>
      </c>
      <c r="M5" s="17">
        <f>I32+I33</f>
        <v>178458</v>
      </c>
      <c r="O5" s="34">
        <f>O3*10.82%</f>
        <v>19309.155600000002</v>
      </c>
      <c r="P5" s="34">
        <f>P3*10.82%</f>
        <v>26844.744600000002</v>
      </c>
      <c r="Q5" s="79">
        <f>O5+P5</f>
        <v>46153.900200000004</v>
      </c>
    </row>
    <row r="6" spans="1:17" ht="23.25" customHeight="1" x14ac:dyDescent="0.25">
      <c r="A6" s="92" t="s">
        <v>3</v>
      </c>
      <c r="B6" s="92"/>
      <c r="C6" s="92"/>
      <c r="D6" s="92"/>
      <c r="E6" s="92"/>
      <c r="F6" s="92"/>
      <c r="G6" s="92"/>
      <c r="H6" s="92"/>
      <c r="I6" s="92"/>
      <c r="L6" s="78" t="s">
        <v>178</v>
      </c>
      <c r="M6" s="17">
        <f>I34+I35+I36</f>
        <v>248103</v>
      </c>
      <c r="O6" s="34">
        <f>O3*7.65%</f>
        <v>13652.037</v>
      </c>
      <c r="P6" s="34">
        <f>P3*7.65%</f>
        <v>18979.879499999999</v>
      </c>
      <c r="Q6" s="79">
        <f>O6+P6</f>
        <v>32631.916499999999</v>
      </c>
    </row>
    <row r="7" spans="1:17" ht="23.25" customHeight="1" x14ac:dyDescent="0.25">
      <c r="A7" s="92" t="s">
        <v>14</v>
      </c>
      <c r="B7" s="92"/>
      <c r="C7" s="92"/>
      <c r="D7" s="92"/>
      <c r="E7" s="92"/>
      <c r="F7" s="92"/>
      <c r="G7" s="92"/>
      <c r="H7" s="92"/>
      <c r="I7" s="92"/>
      <c r="K7" s="17"/>
      <c r="O7" s="34">
        <f>O3*13.25%</f>
        <v>23645.685000000001</v>
      </c>
      <c r="Q7" s="79">
        <f>O7</f>
        <v>23645.685000000001</v>
      </c>
    </row>
    <row r="8" spans="1:17" x14ac:dyDescent="0.2">
      <c r="O8" s="34">
        <f>O3*0.22%</f>
        <v>392.60760000000005</v>
      </c>
      <c r="Q8" s="79">
        <f>O8</f>
        <v>392.60760000000005</v>
      </c>
    </row>
    <row r="9" spans="1:17" ht="43" x14ac:dyDescent="0.2">
      <c r="A9" s="2" t="s">
        <v>0</v>
      </c>
      <c r="B9" s="2" t="s">
        <v>1</v>
      </c>
      <c r="C9" s="1" t="s">
        <v>9</v>
      </c>
      <c r="D9" s="1" t="s">
        <v>10</v>
      </c>
      <c r="E9" s="2" t="s">
        <v>2</v>
      </c>
      <c r="F9" s="36" t="s">
        <v>4</v>
      </c>
      <c r="G9" s="1" t="s">
        <v>12</v>
      </c>
      <c r="H9" s="1" t="s">
        <v>11</v>
      </c>
      <c r="I9" s="2" t="s">
        <v>13</v>
      </c>
      <c r="O9" s="34">
        <f>O3*1%</f>
        <v>1784.58</v>
      </c>
      <c r="P9" s="34">
        <f>P3*1%</f>
        <v>2481.0300000000002</v>
      </c>
      <c r="Q9" s="79">
        <f>O9+P9</f>
        <v>4265.6100000000006</v>
      </c>
    </row>
    <row r="10" spans="1:17" ht="32" x14ac:dyDescent="0.2">
      <c r="A10" s="4">
        <v>5100</v>
      </c>
      <c r="B10" s="13">
        <v>120</v>
      </c>
      <c r="C10" s="4">
        <v>1</v>
      </c>
      <c r="D10" s="4">
        <v>2</v>
      </c>
      <c r="E10" s="5" t="s">
        <v>106</v>
      </c>
      <c r="F10" s="37">
        <v>9</v>
      </c>
      <c r="G10" s="10">
        <f t="shared" ref="G10:G25" si="0">I10*(2/3)</f>
        <v>1040181.1133333333</v>
      </c>
      <c r="H10" s="10">
        <f t="shared" ref="H10:H25" si="1">I10*(1/3)</f>
        <v>520090.55666666664</v>
      </c>
      <c r="I10" s="10">
        <v>1560271.67</v>
      </c>
    </row>
    <row r="11" spans="1:17" ht="32" x14ac:dyDescent="0.2">
      <c r="A11" s="4">
        <v>5100</v>
      </c>
      <c r="B11" s="13">
        <v>120</v>
      </c>
      <c r="C11" s="4">
        <v>1</v>
      </c>
      <c r="D11" s="4">
        <v>3</v>
      </c>
      <c r="E11" s="5" t="s">
        <v>60</v>
      </c>
      <c r="F11" s="37">
        <v>31</v>
      </c>
      <c r="G11" s="10">
        <f t="shared" si="0"/>
        <v>2316712</v>
      </c>
      <c r="H11" s="10">
        <f t="shared" si="1"/>
        <v>1158356</v>
      </c>
      <c r="I11" s="10">
        <v>3475068</v>
      </c>
    </row>
    <row r="12" spans="1:17" ht="32" x14ac:dyDescent="0.2">
      <c r="A12" s="4">
        <v>5100</v>
      </c>
      <c r="B12" s="13">
        <v>120</v>
      </c>
      <c r="C12" s="4">
        <v>1</v>
      </c>
      <c r="D12" s="4">
        <v>3</v>
      </c>
      <c r="E12" s="5" t="s">
        <v>65</v>
      </c>
      <c r="F12" s="37">
        <v>14</v>
      </c>
      <c r="G12" s="10">
        <f t="shared" si="0"/>
        <v>922479.47333333327</v>
      </c>
      <c r="H12" s="10">
        <f t="shared" si="1"/>
        <v>461239.73666666663</v>
      </c>
      <c r="I12" s="10">
        <v>1383719.21</v>
      </c>
      <c r="O12" s="73"/>
    </row>
    <row r="13" spans="1:17" ht="112" x14ac:dyDescent="0.2">
      <c r="A13" s="4">
        <v>5100</v>
      </c>
      <c r="B13" s="13">
        <v>150</v>
      </c>
      <c r="C13" s="13">
        <v>1</v>
      </c>
      <c r="D13" s="13">
        <v>3</v>
      </c>
      <c r="E13" s="19" t="s">
        <v>57</v>
      </c>
      <c r="F13" s="37">
        <v>6</v>
      </c>
      <c r="G13" s="10">
        <f t="shared" si="0"/>
        <v>210202</v>
      </c>
      <c r="H13" s="10">
        <f t="shared" si="1"/>
        <v>105101</v>
      </c>
      <c r="I13" s="20">
        <v>315303</v>
      </c>
      <c r="O13" s="72"/>
    </row>
    <row r="14" spans="1:17" ht="32" x14ac:dyDescent="0.2">
      <c r="A14" s="4">
        <v>5100</v>
      </c>
      <c r="B14" s="13">
        <v>150</v>
      </c>
      <c r="C14" s="13">
        <v>1</v>
      </c>
      <c r="D14" s="13">
        <v>3</v>
      </c>
      <c r="E14" s="19" t="s">
        <v>64</v>
      </c>
      <c r="F14" s="37">
        <v>14</v>
      </c>
      <c r="G14" s="10">
        <f t="shared" si="0"/>
        <v>375889.0733333333</v>
      </c>
      <c r="H14" s="10">
        <f t="shared" si="1"/>
        <v>187944.53666666665</v>
      </c>
      <c r="I14" s="20">
        <v>563833.61</v>
      </c>
    </row>
    <row r="15" spans="1:17" ht="32" x14ac:dyDescent="0.2">
      <c r="A15" s="4">
        <v>5100</v>
      </c>
      <c r="B15" s="13">
        <v>150</v>
      </c>
      <c r="C15" s="13">
        <v>1</v>
      </c>
      <c r="D15" s="13">
        <v>2</v>
      </c>
      <c r="E15" s="19" t="s">
        <v>107</v>
      </c>
      <c r="F15" s="37">
        <v>14</v>
      </c>
      <c r="G15" s="10">
        <f t="shared" si="0"/>
        <v>568284.46666666656</v>
      </c>
      <c r="H15" s="10">
        <f t="shared" si="1"/>
        <v>284142.23333333328</v>
      </c>
      <c r="I15" s="20">
        <v>852426.7</v>
      </c>
    </row>
    <row r="16" spans="1:17" ht="32" x14ac:dyDescent="0.2">
      <c r="A16" s="4">
        <v>5100</v>
      </c>
      <c r="B16" s="13">
        <v>150</v>
      </c>
      <c r="C16" s="13">
        <v>1</v>
      </c>
      <c r="D16" s="13">
        <v>3</v>
      </c>
      <c r="E16" s="19" t="s">
        <v>61</v>
      </c>
      <c r="F16" s="37">
        <v>80</v>
      </c>
      <c r="G16" s="10">
        <f t="shared" si="0"/>
        <v>2050570.6666666665</v>
      </c>
      <c r="H16" s="10">
        <f t="shared" si="1"/>
        <v>1025285.3333333333</v>
      </c>
      <c r="I16" s="20">
        <v>3075856</v>
      </c>
    </row>
    <row r="17" spans="1:16" ht="32" x14ac:dyDescent="0.2">
      <c r="A17" s="4">
        <v>5100</v>
      </c>
      <c r="B17" s="13">
        <v>160</v>
      </c>
      <c r="C17" s="4">
        <v>1</v>
      </c>
      <c r="D17" s="4">
        <v>1</v>
      </c>
      <c r="E17" s="5" t="s">
        <v>108</v>
      </c>
      <c r="F17" s="37"/>
      <c r="G17" s="10">
        <f t="shared" si="0"/>
        <v>631404.26</v>
      </c>
      <c r="H17" s="10">
        <f t="shared" si="1"/>
        <v>315702.13</v>
      </c>
      <c r="I17" s="10">
        <v>947106.39</v>
      </c>
    </row>
    <row r="18" spans="1:16" ht="96" x14ac:dyDescent="0.2">
      <c r="A18" s="13">
        <v>5100</v>
      </c>
      <c r="B18" s="13">
        <v>160</v>
      </c>
      <c r="C18" s="13">
        <v>1</v>
      </c>
      <c r="D18" s="13">
        <v>4</v>
      </c>
      <c r="E18" s="15" t="s">
        <v>105</v>
      </c>
      <c r="F18" s="44"/>
      <c r="G18" s="14">
        <f t="shared" si="0"/>
        <v>286000</v>
      </c>
      <c r="H18" s="14">
        <f t="shared" si="1"/>
        <v>143000</v>
      </c>
      <c r="I18" s="14">
        <v>429000</v>
      </c>
    </row>
    <row r="19" spans="1:16" ht="176" x14ac:dyDescent="0.2">
      <c r="A19" s="13">
        <v>5100</v>
      </c>
      <c r="B19" s="13">
        <v>160</v>
      </c>
      <c r="C19" s="13">
        <v>1</v>
      </c>
      <c r="D19" s="13">
        <v>5</v>
      </c>
      <c r="E19" s="15" t="s">
        <v>69</v>
      </c>
      <c r="F19" s="40"/>
      <c r="G19" s="14">
        <f t="shared" si="0"/>
        <v>200000</v>
      </c>
      <c r="H19" s="14">
        <f t="shared" si="1"/>
        <v>100000</v>
      </c>
      <c r="I19" s="14">
        <v>300000</v>
      </c>
    </row>
    <row r="20" spans="1:16" ht="80" x14ac:dyDescent="0.2">
      <c r="A20" s="13">
        <v>5100</v>
      </c>
      <c r="B20" s="13">
        <v>160</v>
      </c>
      <c r="C20" s="13">
        <v>1</v>
      </c>
      <c r="D20" s="13">
        <v>6</v>
      </c>
      <c r="E20" s="12" t="s">
        <v>70</v>
      </c>
      <c r="F20" s="43"/>
      <c r="G20" s="14">
        <f t="shared" si="0"/>
        <v>117000</v>
      </c>
      <c r="H20" s="14">
        <f t="shared" si="1"/>
        <v>58500</v>
      </c>
      <c r="I20" s="14">
        <v>175500</v>
      </c>
    </row>
    <row r="21" spans="1:16" ht="34.5" customHeight="1" x14ac:dyDescent="0.2">
      <c r="A21" s="4">
        <v>5100</v>
      </c>
      <c r="B21" s="13">
        <v>210</v>
      </c>
      <c r="C21" s="13">
        <v>1</v>
      </c>
      <c r="D21" s="13" t="s">
        <v>150</v>
      </c>
      <c r="E21" s="19" t="s">
        <v>180</v>
      </c>
      <c r="F21" s="37"/>
      <c r="G21" s="14">
        <f t="shared" si="0"/>
        <v>943365.83333333326</v>
      </c>
      <c r="H21" s="14">
        <f t="shared" si="1"/>
        <v>471682.91666666663</v>
      </c>
      <c r="I21" s="20">
        <v>1415048.75</v>
      </c>
    </row>
    <row r="22" spans="1:16" ht="32" x14ac:dyDescent="0.2">
      <c r="A22" s="4">
        <v>5100</v>
      </c>
      <c r="B22" s="13">
        <v>220</v>
      </c>
      <c r="C22" s="64">
        <v>1</v>
      </c>
      <c r="D22" s="65" t="s">
        <v>150</v>
      </c>
      <c r="E22" s="5" t="s">
        <v>181</v>
      </c>
      <c r="F22" s="39"/>
      <c r="G22" s="14">
        <f t="shared" si="0"/>
        <v>666982.31333333324</v>
      </c>
      <c r="H22" s="14">
        <f t="shared" si="1"/>
        <v>333491.15666666662</v>
      </c>
      <c r="I22" s="18">
        <v>1000473.47</v>
      </c>
    </row>
    <row r="23" spans="1:16" ht="32" x14ac:dyDescent="0.2">
      <c r="A23" s="4">
        <v>5100</v>
      </c>
      <c r="B23" s="13">
        <v>231</v>
      </c>
      <c r="C23" s="64">
        <v>1</v>
      </c>
      <c r="D23" s="65" t="s">
        <v>150</v>
      </c>
      <c r="E23" s="5" t="s">
        <v>182</v>
      </c>
      <c r="F23" s="39"/>
      <c r="G23" s="14">
        <f t="shared" si="0"/>
        <v>991672.24</v>
      </c>
      <c r="H23" s="14">
        <f t="shared" si="1"/>
        <v>495836.12</v>
      </c>
      <c r="I23" s="18">
        <v>1487508.36</v>
      </c>
    </row>
    <row r="24" spans="1:16" ht="32" x14ac:dyDescent="0.2">
      <c r="A24" s="4">
        <v>5100</v>
      </c>
      <c r="B24" s="13">
        <v>232</v>
      </c>
      <c r="C24" s="64">
        <v>1</v>
      </c>
      <c r="D24" s="65" t="s">
        <v>150</v>
      </c>
      <c r="E24" s="5" t="s">
        <v>183</v>
      </c>
      <c r="F24" s="37"/>
      <c r="G24" s="14">
        <f t="shared" si="0"/>
        <v>16465.5</v>
      </c>
      <c r="H24" s="14">
        <f t="shared" si="1"/>
        <v>8232.75</v>
      </c>
      <c r="I24" s="10">
        <v>24698.25</v>
      </c>
    </row>
    <row r="25" spans="1:16" ht="32" x14ac:dyDescent="0.2">
      <c r="A25" s="4">
        <v>5100</v>
      </c>
      <c r="B25" s="13">
        <v>240</v>
      </c>
      <c r="C25" s="64">
        <v>1</v>
      </c>
      <c r="D25" s="65" t="s">
        <v>150</v>
      </c>
      <c r="E25" s="5" t="s">
        <v>184</v>
      </c>
      <c r="F25" s="37"/>
      <c r="G25" s="14">
        <f t="shared" si="0"/>
        <v>87187.233333333337</v>
      </c>
      <c r="H25" s="14">
        <f t="shared" si="1"/>
        <v>43593.616666666669</v>
      </c>
      <c r="I25" s="10">
        <v>130780.85</v>
      </c>
      <c r="P25" s="35"/>
    </row>
    <row r="26" spans="1:16" ht="80" x14ac:dyDescent="0.2">
      <c r="A26" s="13">
        <v>5100</v>
      </c>
      <c r="B26" s="13">
        <v>369</v>
      </c>
      <c r="C26" s="13">
        <v>1</v>
      </c>
      <c r="D26" s="13">
        <v>7</v>
      </c>
      <c r="E26" s="23" t="s">
        <v>50</v>
      </c>
      <c r="F26" s="41"/>
      <c r="G26" s="11">
        <v>750000</v>
      </c>
      <c r="H26" s="11">
        <v>750000</v>
      </c>
      <c r="I26" s="11">
        <v>1500000</v>
      </c>
    </row>
    <row r="27" spans="1:16" ht="16" x14ac:dyDescent="0.2">
      <c r="A27" s="4">
        <v>5100</v>
      </c>
      <c r="B27" s="13">
        <v>510</v>
      </c>
      <c r="C27" s="4">
        <v>1</v>
      </c>
      <c r="D27" s="4">
        <v>1</v>
      </c>
      <c r="E27" s="5" t="s">
        <v>109</v>
      </c>
      <c r="F27" s="37"/>
      <c r="G27" s="10">
        <v>53881.33</v>
      </c>
      <c r="H27" s="10">
        <v>107762.67</v>
      </c>
      <c r="I27" s="10">
        <v>161644</v>
      </c>
    </row>
    <row r="28" spans="1:16" ht="32" x14ac:dyDescent="0.2">
      <c r="A28" s="4">
        <v>5100</v>
      </c>
      <c r="B28" s="13">
        <v>519</v>
      </c>
      <c r="C28" s="4">
        <v>1</v>
      </c>
      <c r="D28" s="4">
        <v>1</v>
      </c>
      <c r="E28" s="5" t="s">
        <v>110</v>
      </c>
      <c r="F28" s="37"/>
      <c r="G28" s="10">
        <v>53881.33</v>
      </c>
      <c r="H28" s="10">
        <v>107762.67</v>
      </c>
      <c r="I28" s="10">
        <v>161644</v>
      </c>
      <c r="J28" s="17"/>
    </row>
    <row r="29" spans="1:16" ht="16" x14ac:dyDescent="0.2">
      <c r="A29" s="4">
        <v>5100</v>
      </c>
      <c r="B29" s="13">
        <v>520</v>
      </c>
      <c r="C29" s="4">
        <v>1</v>
      </c>
      <c r="D29" s="4">
        <v>1</v>
      </c>
      <c r="E29" s="5" t="s">
        <v>111</v>
      </c>
      <c r="F29" s="37"/>
      <c r="G29" s="10">
        <v>53881.33</v>
      </c>
      <c r="H29" s="10">
        <v>107762.67</v>
      </c>
      <c r="I29" s="10">
        <v>161644</v>
      </c>
    </row>
    <row r="30" spans="1:16" ht="32" x14ac:dyDescent="0.2">
      <c r="A30" s="13">
        <v>5100</v>
      </c>
      <c r="B30" s="13">
        <v>730</v>
      </c>
      <c r="C30" s="13">
        <v>1</v>
      </c>
      <c r="D30" s="13">
        <v>8</v>
      </c>
      <c r="E30" s="21" t="s">
        <v>79</v>
      </c>
      <c r="F30" s="40"/>
      <c r="G30" s="14">
        <v>66666.67</v>
      </c>
      <c r="H30" s="14">
        <v>133333.32999999999</v>
      </c>
      <c r="I30" s="14">
        <v>200000</v>
      </c>
    </row>
    <row r="31" spans="1:16" ht="48" x14ac:dyDescent="0.2">
      <c r="A31" s="4">
        <v>5100</v>
      </c>
      <c r="B31" s="13">
        <v>310</v>
      </c>
      <c r="C31" s="4" t="s">
        <v>149</v>
      </c>
      <c r="D31" s="4">
        <v>1</v>
      </c>
      <c r="E31" s="5" t="s">
        <v>179</v>
      </c>
      <c r="F31" s="37"/>
      <c r="G31" s="10">
        <v>25000</v>
      </c>
      <c r="H31" s="10">
        <v>25000</v>
      </c>
      <c r="I31" s="10">
        <v>50000</v>
      </c>
    </row>
    <row r="32" spans="1:16" ht="112" x14ac:dyDescent="0.2">
      <c r="A32" s="4">
        <v>5100</v>
      </c>
      <c r="B32" s="13">
        <v>120</v>
      </c>
      <c r="C32" s="4" t="s">
        <v>147</v>
      </c>
      <c r="D32" s="4">
        <v>1</v>
      </c>
      <c r="E32" s="5" t="s">
        <v>167</v>
      </c>
      <c r="F32" s="37">
        <v>1</v>
      </c>
      <c r="G32" s="10">
        <f t="shared" ref="G32:G41" si="2">I32*(2/3)</f>
        <v>78992</v>
      </c>
      <c r="H32" s="10">
        <f t="shared" ref="H32:H41" si="3">I32*(1/3)</f>
        <v>39496</v>
      </c>
      <c r="I32" s="10">
        <f>116614+1874</f>
        <v>118488</v>
      </c>
      <c r="J32" s="17"/>
    </row>
    <row r="33" spans="1:10" ht="112" x14ac:dyDescent="0.2">
      <c r="A33" s="4">
        <v>5100</v>
      </c>
      <c r="B33" s="13">
        <v>150</v>
      </c>
      <c r="C33" s="4" t="s">
        <v>147</v>
      </c>
      <c r="D33" s="4">
        <v>1</v>
      </c>
      <c r="E33" s="5" t="s">
        <v>168</v>
      </c>
      <c r="F33" s="37">
        <v>1</v>
      </c>
      <c r="G33" s="10">
        <f t="shared" si="2"/>
        <v>39980</v>
      </c>
      <c r="H33" s="10">
        <f t="shared" si="3"/>
        <v>19990</v>
      </c>
      <c r="I33" s="10">
        <v>59970</v>
      </c>
      <c r="J33" s="17"/>
    </row>
    <row r="34" spans="1:10" ht="176" x14ac:dyDescent="0.2">
      <c r="A34" s="13">
        <v>5100</v>
      </c>
      <c r="B34" s="13">
        <v>160</v>
      </c>
      <c r="C34" s="13" t="s">
        <v>148</v>
      </c>
      <c r="D34" s="13">
        <v>4</v>
      </c>
      <c r="E34" s="6" t="s">
        <v>77</v>
      </c>
      <c r="F34" s="38"/>
      <c r="G34" s="14">
        <f t="shared" si="2"/>
        <v>55802</v>
      </c>
      <c r="H34" s="11">
        <f t="shared" si="3"/>
        <v>27901</v>
      </c>
      <c r="I34" s="11">
        <v>83703</v>
      </c>
    </row>
    <row r="35" spans="1:10" ht="128" x14ac:dyDescent="0.2">
      <c r="A35" s="4">
        <v>5100</v>
      </c>
      <c r="B35" s="13">
        <v>160</v>
      </c>
      <c r="C35" s="4" t="s">
        <v>147</v>
      </c>
      <c r="D35" s="4">
        <v>2</v>
      </c>
      <c r="E35" s="5" t="s">
        <v>78</v>
      </c>
      <c r="F35" s="37"/>
      <c r="G35" s="10">
        <f t="shared" si="2"/>
        <v>100000</v>
      </c>
      <c r="H35" s="10">
        <f t="shared" si="3"/>
        <v>50000</v>
      </c>
      <c r="I35" s="10">
        <v>150000</v>
      </c>
    </row>
    <row r="36" spans="1:10" ht="192" x14ac:dyDescent="0.2">
      <c r="A36" s="4">
        <v>5100</v>
      </c>
      <c r="B36" s="13">
        <v>160</v>
      </c>
      <c r="C36" s="4" t="s">
        <v>147</v>
      </c>
      <c r="D36" s="4">
        <v>3</v>
      </c>
      <c r="E36" s="5" t="s">
        <v>56</v>
      </c>
      <c r="F36" s="37"/>
      <c r="G36" s="10">
        <f t="shared" si="2"/>
        <v>9600</v>
      </c>
      <c r="H36" s="10">
        <f t="shared" si="3"/>
        <v>4800</v>
      </c>
      <c r="I36" s="10">
        <v>14400</v>
      </c>
    </row>
    <row r="37" spans="1:10" ht="32" x14ac:dyDescent="0.2">
      <c r="A37" s="4">
        <v>5100</v>
      </c>
      <c r="B37" s="13">
        <v>210</v>
      </c>
      <c r="C37" s="13" t="s">
        <v>147</v>
      </c>
      <c r="D37" s="13" t="s">
        <v>150</v>
      </c>
      <c r="E37" s="19" t="s">
        <v>185</v>
      </c>
      <c r="F37" s="37"/>
      <c r="G37" s="14">
        <f t="shared" si="2"/>
        <v>30769.266666666666</v>
      </c>
      <c r="H37" s="14">
        <f t="shared" si="3"/>
        <v>15384.633333333333</v>
      </c>
      <c r="I37" s="20">
        <v>46153.9</v>
      </c>
    </row>
    <row r="38" spans="1:10" ht="32" x14ac:dyDescent="0.2">
      <c r="A38" s="4">
        <v>5100</v>
      </c>
      <c r="B38" s="13">
        <v>220</v>
      </c>
      <c r="C38" s="64" t="s">
        <v>174</v>
      </c>
      <c r="D38" s="65" t="s">
        <v>150</v>
      </c>
      <c r="E38" s="5" t="s">
        <v>186</v>
      </c>
      <c r="F38" s="39"/>
      <c r="G38" s="14">
        <f t="shared" si="2"/>
        <v>21754.613333333331</v>
      </c>
      <c r="H38" s="14">
        <f t="shared" si="3"/>
        <v>10877.306666666665</v>
      </c>
      <c r="I38" s="18">
        <v>32631.919999999998</v>
      </c>
    </row>
    <row r="39" spans="1:10" ht="32" x14ac:dyDescent="0.2">
      <c r="A39" s="4">
        <v>5100</v>
      </c>
      <c r="B39" s="13">
        <v>231</v>
      </c>
      <c r="C39" s="64" t="s">
        <v>147</v>
      </c>
      <c r="D39" s="65" t="s">
        <v>150</v>
      </c>
      <c r="E39" s="5" t="s">
        <v>187</v>
      </c>
      <c r="F39" s="39"/>
      <c r="G39" s="14">
        <f t="shared" si="2"/>
        <v>15763.793333333331</v>
      </c>
      <c r="H39" s="14">
        <f t="shared" si="3"/>
        <v>7881.8966666666656</v>
      </c>
      <c r="I39" s="18">
        <v>23645.69</v>
      </c>
    </row>
    <row r="40" spans="1:10" ht="51" customHeight="1" x14ac:dyDescent="0.2">
      <c r="A40" s="4">
        <v>5100</v>
      </c>
      <c r="B40" s="13">
        <v>232</v>
      </c>
      <c r="C40" s="64" t="s">
        <v>147</v>
      </c>
      <c r="D40" s="65" t="s">
        <v>150</v>
      </c>
      <c r="E40" s="5" t="s">
        <v>188</v>
      </c>
      <c r="F40" s="37"/>
      <c r="G40" s="14">
        <f t="shared" si="2"/>
        <v>261.74</v>
      </c>
      <c r="H40" s="14">
        <f t="shared" si="3"/>
        <v>130.87</v>
      </c>
      <c r="I40" s="10">
        <v>392.61</v>
      </c>
    </row>
    <row r="41" spans="1:10" ht="32" x14ac:dyDescent="0.2">
      <c r="A41" s="4">
        <v>5100</v>
      </c>
      <c r="B41" s="13">
        <v>240</v>
      </c>
      <c r="C41" s="64" t="s">
        <v>147</v>
      </c>
      <c r="D41" s="65" t="s">
        <v>150</v>
      </c>
      <c r="E41" s="5" t="s">
        <v>189</v>
      </c>
      <c r="F41" s="37"/>
      <c r="G41" s="14">
        <f t="shared" si="2"/>
        <v>2843.74</v>
      </c>
      <c r="H41" s="14">
        <f t="shared" si="3"/>
        <v>1421.87</v>
      </c>
      <c r="I41" s="10">
        <v>4265.6099999999997</v>
      </c>
    </row>
    <row r="42" spans="1:10" ht="160" x14ac:dyDescent="0.2">
      <c r="A42" s="13">
        <v>5100</v>
      </c>
      <c r="B42" s="13">
        <v>310</v>
      </c>
      <c r="C42" s="13" t="s">
        <v>148</v>
      </c>
      <c r="D42" s="13">
        <v>4</v>
      </c>
      <c r="E42" s="6" t="s">
        <v>88</v>
      </c>
      <c r="F42" s="38"/>
      <c r="G42" s="14">
        <v>100000</v>
      </c>
      <c r="H42" s="11">
        <v>100000</v>
      </c>
      <c r="I42" s="11">
        <v>200000</v>
      </c>
    </row>
    <row r="43" spans="1:10" ht="48" x14ac:dyDescent="0.2">
      <c r="A43" s="4">
        <v>5100</v>
      </c>
      <c r="B43" s="13">
        <v>644</v>
      </c>
      <c r="C43" s="4" t="s">
        <v>148</v>
      </c>
      <c r="D43" s="4">
        <v>1</v>
      </c>
      <c r="E43" s="5" t="s">
        <v>89</v>
      </c>
      <c r="F43" s="37"/>
      <c r="G43" s="10">
        <v>766.5</v>
      </c>
      <c r="H43" s="10">
        <v>766.5</v>
      </c>
      <c r="I43" s="10">
        <v>1533</v>
      </c>
    </row>
    <row r="44" spans="1:10" ht="80" x14ac:dyDescent="0.2">
      <c r="A44" s="4">
        <v>5100</v>
      </c>
      <c r="B44" s="13">
        <v>369</v>
      </c>
      <c r="C44" s="4" t="s">
        <v>152</v>
      </c>
      <c r="D44" s="4">
        <v>1</v>
      </c>
      <c r="E44" s="5" t="s">
        <v>113</v>
      </c>
      <c r="F44" s="37"/>
      <c r="G44" s="10">
        <v>126145</v>
      </c>
      <c r="H44" s="10">
        <v>88100</v>
      </c>
      <c r="I44" s="10">
        <f>126145+88100</f>
        <v>214245</v>
      </c>
    </row>
    <row r="45" spans="1:10" x14ac:dyDescent="0.2">
      <c r="A45" s="13">
        <v>5100</v>
      </c>
      <c r="B45" s="13">
        <v>520</v>
      </c>
      <c r="C45" s="13" t="s">
        <v>170</v>
      </c>
      <c r="D45" s="13" t="s">
        <v>171</v>
      </c>
      <c r="E45" s="16" t="s">
        <v>52</v>
      </c>
      <c r="F45" s="43"/>
      <c r="G45" s="10">
        <v>10000000</v>
      </c>
      <c r="H45" s="10">
        <v>1000000</v>
      </c>
      <c r="I45" s="14">
        <v>11000000</v>
      </c>
    </row>
    <row r="46" spans="1:10" ht="160" x14ac:dyDescent="0.2">
      <c r="A46" s="13">
        <v>5100</v>
      </c>
      <c r="B46" s="13">
        <v>369</v>
      </c>
      <c r="C46" s="13" t="s">
        <v>151</v>
      </c>
      <c r="D46" s="13">
        <v>1</v>
      </c>
      <c r="E46" s="6" t="s">
        <v>46</v>
      </c>
      <c r="F46" s="41"/>
      <c r="G46" s="11">
        <v>193196.42</v>
      </c>
      <c r="H46" s="10">
        <v>193196.42</v>
      </c>
      <c r="I46" s="14">
        <v>386392.84</v>
      </c>
    </row>
    <row r="47" spans="1:10" ht="32" x14ac:dyDescent="0.2">
      <c r="A47" s="4">
        <v>5100</v>
      </c>
      <c r="B47" s="13">
        <v>390</v>
      </c>
      <c r="C47" s="4" t="s">
        <v>153</v>
      </c>
      <c r="D47" s="4">
        <v>1</v>
      </c>
      <c r="E47" s="5" t="s">
        <v>25</v>
      </c>
      <c r="F47" s="39"/>
      <c r="G47" s="10">
        <v>1666.67</v>
      </c>
      <c r="H47" s="10">
        <v>3333.33</v>
      </c>
      <c r="I47" s="18">
        <v>5000</v>
      </c>
    </row>
    <row r="48" spans="1:10" ht="48" x14ac:dyDescent="0.2">
      <c r="A48" s="4">
        <v>5100</v>
      </c>
      <c r="B48" s="13">
        <v>510</v>
      </c>
      <c r="C48" s="4" t="s">
        <v>153</v>
      </c>
      <c r="D48" s="4">
        <v>2</v>
      </c>
      <c r="E48" s="5" t="s">
        <v>22</v>
      </c>
      <c r="F48" s="37"/>
      <c r="G48" s="10">
        <v>16000</v>
      </c>
      <c r="H48" s="10">
        <v>16000</v>
      </c>
      <c r="I48" s="10">
        <v>32000</v>
      </c>
    </row>
    <row r="49" spans="1:9" ht="48" x14ac:dyDescent="0.2">
      <c r="A49" s="4">
        <v>5100</v>
      </c>
      <c r="B49" s="13">
        <v>510</v>
      </c>
      <c r="C49" s="4" t="s">
        <v>153</v>
      </c>
      <c r="D49" s="4">
        <v>2</v>
      </c>
      <c r="E49" s="5" t="s">
        <v>23</v>
      </c>
      <c r="F49" s="37"/>
      <c r="G49" s="10">
        <v>11250</v>
      </c>
      <c r="H49" s="10">
        <v>22500</v>
      </c>
      <c r="I49" s="10">
        <v>33750</v>
      </c>
    </row>
    <row r="50" spans="1:9" ht="64" x14ac:dyDescent="0.2">
      <c r="A50" s="4">
        <v>5100</v>
      </c>
      <c r="B50" s="13">
        <v>510</v>
      </c>
      <c r="C50" s="66" t="s">
        <v>153</v>
      </c>
      <c r="D50" s="67">
        <v>3</v>
      </c>
      <c r="E50" s="5" t="s">
        <v>31</v>
      </c>
      <c r="F50" s="39"/>
      <c r="G50" s="10">
        <v>16666.669999999998</v>
      </c>
      <c r="H50" s="10">
        <v>33333.33</v>
      </c>
      <c r="I50" s="18">
        <v>50000</v>
      </c>
    </row>
    <row r="51" spans="1:9" ht="48" x14ac:dyDescent="0.2">
      <c r="A51" s="4">
        <v>5100</v>
      </c>
      <c r="B51" s="13">
        <v>519</v>
      </c>
      <c r="C51" s="4" t="s">
        <v>153</v>
      </c>
      <c r="D51" s="68" t="s">
        <v>154</v>
      </c>
      <c r="E51" s="5" t="s">
        <v>26</v>
      </c>
      <c r="F51" s="39"/>
      <c r="G51" s="10">
        <v>8166.67</v>
      </c>
      <c r="H51" s="10">
        <v>16333.33</v>
      </c>
      <c r="I51" s="18">
        <v>24500</v>
      </c>
    </row>
    <row r="52" spans="1:9" ht="16" x14ac:dyDescent="0.2">
      <c r="A52" s="13">
        <v>5100</v>
      </c>
      <c r="B52" s="13">
        <v>369</v>
      </c>
      <c r="C52" s="13" t="s">
        <v>155</v>
      </c>
      <c r="D52" s="13">
        <v>3</v>
      </c>
      <c r="E52" s="6" t="s">
        <v>17</v>
      </c>
      <c r="F52" s="41"/>
      <c r="G52" s="11">
        <f>I52*(2/3)</f>
        <v>119845.33333333333</v>
      </c>
      <c r="H52" s="10">
        <f>I52*(1/3)</f>
        <v>59922.666666666664</v>
      </c>
      <c r="I52" s="14">
        <v>179768</v>
      </c>
    </row>
    <row r="53" spans="1:9" ht="16" x14ac:dyDescent="0.2">
      <c r="A53" s="13">
        <v>5100</v>
      </c>
      <c r="B53" s="13">
        <v>369</v>
      </c>
      <c r="C53" s="64" t="s">
        <v>155</v>
      </c>
      <c r="D53" s="13">
        <v>3</v>
      </c>
      <c r="E53" s="6" t="s">
        <v>20</v>
      </c>
      <c r="F53" s="41"/>
      <c r="G53" s="11">
        <v>0</v>
      </c>
      <c r="H53" s="10">
        <v>44000</v>
      </c>
      <c r="I53" s="14">
        <v>44000</v>
      </c>
    </row>
    <row r="54" spans="1:9" x14ac:dyDescent="0.2">
      <c r="A54" s="13">
        <v>5100</v>
      </c>
      <c r="B54" s="13">
        <v>510</v>
      </c>
      <c r="C54" s="13" t="s">
        <v>155</v>
      </c>
      <c r="D54" s="13">
        <v>2</v>
      </c>
      <c r="E54" s="16" t="s">
        <v>84</v>
      </c>
      <c r="F54" s="43"/>
      <c r="G54" s="10">
        <v>25000</v>
      </c>
      <c r="H54" s="10">
        <v>75000</v>
      </c>
      <c r="I54" s="14">
        <v>100000</v>
      </c>
    </row>
    <row r="55" spans="1:9" ht="272" x14ac:dyDescent="0.2">
      <c r="A55" s="13">
        <v>5100</v>
      </c>
      <c r="B55" s="13">
        <v>520</v>
      </c>
      <c r="C55" s="13" t="s">
        <v>155</v>
      </c>
      <c r="D55" s="13">
        <v>2</v>
      </c>
      <c r="E55" s="75" t="s">
        <v>44</v>
      </c>
      <c r="F55" s="41"/>
      <c r="G55" s="11">
        <v>21499.5</v>
      </c>
      <c r="H55" s="58">
        <v>21499.5</v>
      </c>
      <c r="I55" s="58">
        <v>42999</v>
      </c>
    </row>
    <row r="56" spans="1:9" ht="294" customHeight="1" x14ac:dyDescent="0.2">
      <c r="A56" s="13">
        <v>5100</v>
      </c>
      <c r="B56" s="13">
        <v>520</v>
      </c>
      <c r="C56" s="13" t="s">
        <v>155</v>
      </c>
      <c r="D56" s="13">
        <v>2</v>
      </c>
      <c r="E56" s="6" t="s">
        <v>45</v>
      </c>
      <c r="F56" s="41"/>
      <c r="G56" s="11">
        <v>25168.5</v>
      </c>
      <c r="H56" s="58">
        <v>25168.5</v>
      </c>
      <c r="I56" s="58">
        <v>50337</v>
      </c>
    </row>
    <row r="57" spans="1:9" ht="16" x14ac:dyDescent="0.2">
      <c r="A57" s="13">
        <v>5100</v>
      </c>
      <c r="B57" s="13">
        <v>520</v>
      </c>
      <c r="C57" s="65" t="s">
        <v>155</v>
      </c>
      <c r="D57" s="13">
        <v>3</v>
      </c>
      <c r="E57" s="6" t="s">
        <v>172</v>
      </c>
      <c r="F57" s="41"/>
      <c r="G57" s="11">
        <v>150000</v>
      </c>
      <c r="H57" s="10">
        <v>300000</v>
      </c>
      <c r="I57" s="14">
        <v>450000</v>
      </c>
    </row>
    <row r="58" spans="1:9" ht="16" x14ac:dyDescent="0.2">
      <c r="A58" s="13">
        <v>5100</v>
      </c>
      <c r="B58" s="13">
        <v>520</v>
      </c>
      <c r="C58" s="69" t="s">
        <v>155</v>
      </c>
      <c r="D58" s="13">
        <v>3</v>
      </c>
      <c r="E58" s="6" t="s">
        <v>18</v>
      </c>
      <c r="F58" s="41"/>
      <c r="G58" s="11">
        <v>200000</v>
      </c>
      <c r="H58" s="10">
        <v>400000</v>
      </c>
      <c r="I58" s="14">
        <v>600000</v>
      </c>
    </row>
    <row r="59" spans="1:9" ht="16" x14ac:dyDescent="0.2">
      <c r="A59" s="13">
        <v>5100</v>
      </c>
      <c r="B59" s="13">
        <v>520</v>
      </c>
      <c r="C59" s="69" t="s">
        <v>155</v>
      </c>
      <c r="D59" s="13">
        <v>3</v>
      </c>
      <c r="E59" s="6" t="s">
        <v>19</v>
      </c>
      <c r="F59" s="41"/>
      <c r="G59" s="11">
        <v>100000</v>
      </c>
      <c r="H59" s="10">
        <v>200000</v>
      </c>
      <c r="I59" s="14">
        <v>300000</v>
      </c>
    </row>
    <row r="60" spans="1:9" ht="32" x14ac:dyDescent="0.2">
      <c r="A60" s="4">
        <v>5100</v>
      </c>
      <c r="B60" s="13">
        <v>610</v>
      </c>
      <c r="C60" s="74" t="s">
        <v>155</v>
      </c>
      <c r="D60" s="4">
        <v>1</v>
      </c>
      <c r="E60" s="5" t="s">
        <v>29</v>
      </c>
      <c r="F60" s="39"/>
      <c r="G60" s="10">
        <v>1666.67</v>
      </c>
      <c r="H60" s="10">
        <v>3333.33</v>
      </c>
      <c r="I60" s="18">
        <v>5000</v>
      </c>
    </row>
    <row r="61" spans="1:9" ht="32" x14ac:dyDescent="0.2">
      <c r="A61" s="4">
        <v>5100</v>
      </c>
      <c r="B61" s="13">
        <v>610</v>
      </c>
      <c r="C61" s="74" t="s">
        <v>155</v>
      </c>
      <c r="D61" s="4">
        <v>1</v>
      </c>
      <c r="E61" s="5" t="s">
        <v>30</v>
      </c>
      <c r="F61" s="39"/>
      <c r="G61" s="10">
        <v>3666.67</v>
      </c>
      <c r="H61" s="10">
        <v>7333.33</v>
      </c>
      <c r="I61" s="18">
        <v>11000</v>
      </c>
    </row>
    <row r="62" spans="1:9" ht="16" x14ac:dyDescent="0.2">
      <c r="A62" s="4">
        <v>5100</v>
      </c>
      <c r="B62" s="13">
        <v>394</v>
      </c>
      <c r="C62" s="13"/>
      <c r="D62" s="13"/>
      <c r="E62" s="5" t="s">
        <v>41</v>
      </c>
      <c r="F62" s="42"/>
      <c r="G62" s="10">
        <f>I62*(2/3)</f>
        <v>8093864</v>
      </c>
      <c r="H62" s="10">
        <f>I62*(1/3)</f>
        <v>4046932</v>
      </c>
      <c r="I62" s="10">
        <v>12140796</v>
      </c>
    </row>
    <row r="63" spans="1:9" ht="16" x14ac:dyDescent="0.2">
      <c r="A63" s="4">
        <v>5200</v>
      </c>
      <c r="B63" s="13">
        <v>510</v>
      </c>
      <c r="C63" s="4">
        <v>1</v>
      </c>
      <c r="D63" s="4">
        <v>9</v>
      </c>
      <c r="E63" s="5" t="s">
        <v>35</v>
      </c>
      <c r="F63" s="37"/>
      <c r="G63" s="10">
        <v>35000</v>
      </c>
      <c r="H63" s="10">
        <v>35000</v>
      </c>
      <c r="I63" s="10">
        <v>70000</v>
      </c>
    </row>
    <row r="64" spans="1:9" ht="48" customHeight="1" x14ac:dyDescent="0.2">
      <c r="A64" s="4">
        <v>5200</v>
      </c>
      <c r="B64" s="13">
        <v>160</v>
      </c>
      <c r="C64" s="4" t="s">
        <v>153</v>
      </c>
      <c r="D64" s="4">
        <v>1</v>
      </c>
      <c r="E64" s="5" t="s">
        <v>156</v>
      </c>
      <c r="F64" s="39"/>
      <c r="G64" s="10">
        <f>I64*(2/3)</f>
        <v>100000</v>
      </c>
      <c r="H64" s="10">
        <f>I64*(1/3)</f>
        <v>50000</v>
      </c>
      <c r="I64" s="18">
        <v>150000</v>
      </c>
    </row>
    <row r="65" spans="1:9" ht="48" x14ac:dyDescent="0.2">
      <c r="A65" s="4">
        <v>5200</v>
      </c>
      <c r="B65" s="13">
        <v>160</v>
      </c>
      <c r="C65" s="4" t="s">
        <v>153</v>
      </c>
      <c r="D65" s="4">
        <v>1</v>
      </c>
      <c r="E65" s="5" t="s">
        <v>90</v>
      </c>
      <c r="F65" s="39"/>
      <c r="G65" s="10">
        <f>I65*(2/3)</f>
        <v>66666.666666666657</v>
      </c>
      <c r="H65" s="10">
        <f>I65*(1/3)</f>
        <v>33333.333333333328</v>
      </c>
      <c r="I65" s="18">
        <v>100000</v>
      </c>
    </row>
    <row r="66" spans="1:9" ht="16" x14ac:dyDescent="0.2">
      <c r="A66" s="4">
        <v>5200</v>
      </c>
      <c r="B66" s="13">
        <v>210</v>
      </c>
      <c r="C66" s="13" t="s">
        <v>153</v>
      </c>
      <c r="D66" s="13">
        <v>1</v>
      </c>
      <c r="E66" s="19" t="s">
        <v>72</v>
      </c>
      <c r="F66" s="37"/>
      <c r="G66" s="10">
        <f>I66*(2/3)</f>
        <v>18033.333333333332</v>
      </c>
      <c r="H66" s="10">
        <f>I66*(1/3)</f>
        <v>9016.6666666666661</v>
      </c>
      <c r="I66" s="20">
        <v>27050</v>
      </c>
    </row>
    <row r="67" spans="1:9" ht="16" x14ac:dyDescent="0.2">
      <c r="A67" s="4">
        <v>5200</v>
      </c>
      <c r="B67" s="13">
        <v>220</v>
      </c>
      <c r="C67" s="4" t="s">
        <v>153</v>
      </c>
      <c r="D67" s="4">
        <v>1</v>
      </c>
      <c r="E67" s="5" t="s">
        <v>73</v>
      </c>
      <c r="F67" s="39"/>
      <c r="G67" s="10">
        <f>I67*(2/3)</f>
        <v>12750</v>
      </c>
      <c r="H67" s="10">
        <f>I67*(1/3)</f>
        <v>6375</v>
      </c>
      <c r="I67" s="18">
        <v>19125</v>
      </c>
    </row>
    <row r="68" spans="1:9" ht="16" x14ac:dyDescent="0.2">
      <c r="A68" s="4">
        <v>5200</v>
      </c>
      <c r="B68" s="13">
        <v>240</v>
      </c>
      <c r="C68" s="4" t="s">
        <v>153</v>
      </c>
      <c r="D68" s="4">
        <v>1</v>
      </c>
      <c r="E68" s="5" t="s">
        <v>121</v>
      </c>
      <c r="F68" s="37"/>
      <c r="G68" s="10">
        <f>I68*(2/3)</f>
        <v>1666.6666666666665</v>
      </c>
      <c r="H68" s="10">
        <f>I68*(1/3)</f>
        <v>833.33333333333326</v>
      </c>
      <c r="I68" s="10">
        <v>2500</v>
      </c>
    </row>
    <row r="69" spans="1:9" ht="112" x14ac:dyDescent="0.2">
      <c r="A69" s="4">
        <v>5200</v>
      </c>
      <c r="B69" s="4">
        <v>369</v>
      </c>
      <c r="C69" s="4" t="s">
        <v>153</v>
      </c>
      <c r="D69" s="4">
        <v>1</v>
      </c>
      <c r="E69" s="5" t="s">
        <v>24</v>
      </c>
      <c r="F69" s="39"/>
      <c r="G69" s="10">
        <v>21527.08</v>
      </c>
      <c r="H69" s="10">
        <v>43054.17</v>
      </c>
      <c r="I69" s="18">
        <f>129162.5/2</f>
        <v>64581.25</v>
      </c>
    </row>
    <row r="70" spans="1:9" ht="96" x14ac:dyDescent="0.2">
      <c r="A70" s="4">
        <v>5200</v>
      </c>
      <c r="B70" s="13">
        <v>510</v>
      </c>
      <c r="C70" s="4" t="s">
        <v>153</v>
      </c>
      <c r="D70" s="4">
        <v>1</v>
      </c>
      <c r="E70" s="22" t="s">
        <v>157</v>
      </c>
      <c r="F70" s="39"/>
      <c r="G70" s="10">
        <v>5000</v>
      </c>
      <c r="H70" s="10">
        <v>5000</v>
      </c>
      <c r="I70" s="18">
        <v>10000</v>
      </c>
    </row>
    <row r="71" spans="1:9" ht="64" x14ac:dyDescent="0.2">
      <c r="A71" s="4">
        <v>5300</v>
      </c>
      <c r="B71" s="13">
        <v>510</v>
      </c>
      <c r="C71" s="4" t="s">
        <v>148</v>
      </c>
      <c r="D71" s="4">
        <v>3</v>
      </c>
      <c r="E71" s="5" t="s">
        <v>21</v>
      </c>
      <c r="F71" s="37"/>
      <c r="G71" s="10">
        <v>5730</v>
      </c>
      <c r="H71" s="10">
        <v>5730</v>
      </c>
      <c r="I71" s="10">
        <v>11460</v>
      </c>
    </row>
    <row r="72" spans="1:9" ht="80" x14ac:dyDescent="0.2">
      <c r="A72" s="4">
        <v>5500</v>
      </c>
      <c r="B72" s="13">
        <v>510</v>
      </c>
      <c r="C72" s="4">
        <v>1</v>
      </c>
      <c r="D72" s="4">
        <v>6</v>
      </c>
      <c r="E72" s="5" t="s">
        <v>71</v>
      </c>
      <c r="F72" s="39"/>
      <c r="G72" s="10">
        <v>15000</v>
      </c>
      <c r="H72" s="10">
        <v>30000</v>
      </c>
      <c r="I72" s="18">
        <v>45000</v>
      </c>
    </row>
    <row r="73" spans="1:9" ht="16" x14ac:dyDescent="0.2">
      <c r="A73" s="24">
        <v>5500</v>
      </c>
      <c r="B73" s="13">
        <v>160</v>
      </c>
      <c r="C73" s="13" t="s">
        <v>155</v>
      </c>
      <c r="D73" s="13">
        <v>2</v>
      </c>
      <c r="E73" s="6" t="s">
        <v>112</v>
      </c>
      <c r="F73" s="45">
        <v>1</v>
      </c>
      <c r="G73" s="11">
        <v>54000</v>
      </c>
      <c r="H73" s="11">
        <v>54000</v>
      </c>
      <c r="I73" s="11">
        <f>G73+H73</f>
        <v>108000</v>
      </c>
    </row>
    <row r="74" spans="1:9" ht="16" x14ac:dyDescent="0.2">
      <c r="A74" s="24">
        <v>5500</v>
      </c>
      <c r="B74" s="13">
        <v>210</v>
      </c>
      <c r="C74" s="13" t="s">
        <v>155</v>
      </c>
      <c r="D74" s="13">
        <v>2</v>
      </c>
      <c r="E74" s="6" t="s">
        <v>124</v>
      </c>
      <c r="F74" s="45"/>
      <c r="G74" s="11">
        <f>11685.6/2</f>
        <v>5842.8</v>
      </c>
      <c r="H74" s="11">
        <v>5842.8</v>
      </c>
      <c r="I74" s="11">
        <f>108000*10.82%</f>
        <v>11685.6</v>
      </c>
    </row>
    <row r="75" spans="1:9" ht="16" x14ac:dyDescent="0.2">
      <c r="A75" s="24">
        <v>5500</v>
      </c>
      <c r="B75" s="13">
        <v>220</v>
      </c>
      <c r="C75" s="13" t="s">
        <v>155</v>
      </c>
      <c r="D75" s="13">
        <v>2</v>
      </c>
      <c r="E75" s="6" t="s">
        <v>122</v>
      </c>
      <c r="F75" s="45"/>
      <c r="G75" s="11">
        <f>8262/2</f>
        <v>4131</v>
      </c>
      <c r="H75" s="11">
        <v>4131</v>
      </c>
      <c r="I75" s="11">
        <f>108000*7.65%</f>
        <v>8262</v>
      </c>
    </row>
    <row r="76" spans="1:9" ht="16" x14ac:dyDescent="0.2">
      <c r="A76" s="24">
        <v>5500</v>
      </c>
      <c r="B76" s="13">
        <v>231</v>
      </c>
      <c r="C76" s="13" t="s">
        <v>155</v>
      </c>
      <c r="D76" s="13">
        <v>2</v>
      </c>
      <c r="E76" s="6" t="s">
        <v>123</v>
      </c>
      <c r="F76" s="45"/>
      <c r="G76" s="11">
        <f>14310/2</f>
        <v>7155</v>
      </c>
      <c r="H76" s="11">
        <v>7155</v>
      </c>
      <c r="I76" s="11">
        <f>108000*13.25%</f>
        <v>14310</v>
      </c>
    </row>
    <row r="77" spans="1:9" ht="16" x14ac:dyDescent="0.2">
      <c r="A77" s="24">
        <v>5500</v>
      </c>
      <c r="B77" s="13">
        <v>232</v>
      </c>
      <c r="C77" s="13" t="s">
        <v>155</v>
      </c>
      <c r="D77" s="13">
        <v>2</v>
      </c>
      <c r="E77" s="6" t="s">
        <v>125</v>
      </c>
      <c r="F77" s="45"/>
      <c r="G77" s="11">
        <f>237.6/2</f>
        <v>118.8</v>
      </c>
      <c r="H77" s="11">
        <v>118.8</v>
      </c>
      <c r="I77" s="11">
        <f>108000*0.22%</f>
        <v>237.60000000000002</v>
      </c>
    </row>
    <row r="78" spans="1:9" ht="16" x14ac:dyDescent="0.2">
      <c r="A78" s="24">
        <v>5500</v>
      </c>
      <c r="B78" s="13">
        <v>240</v>
      </c>
      <c r="C78" s="13" t="s">
        <v>155</v>
      </c>
      <c r="D78" s="13">
        <v>2</v>
      </c>
      <c r="E78" s="6" t="s">
        <v>126</v>
      </c>
      <c r="F78" s="45"/>
      <c r="G78" s="11">
        <f>1080/2</f>
        <v>540</v>
      </c>
      <c r="H78" s="11">
        <v>540</v>
      </c>
      <c r="I78" s="11">
        <f>108000*1%</f>
        <v>1080</v>
      </c>
    </row>
    <row r="79" spans="1:9" ht="32" x14ac:dyDescent="0.2">
      <c r="A79" s="24">
        <v>6110</v>
      </c>
      <c r="B79" s="13">
        <v>130</v>
      </c>
      <c r="C79" s="13" t="s">
        <v>158</v>
      </c>
      <c r="D79" s="13">
        <v>1</v>
      </c>
      <c r="E79" s="6" t="s">
        <v>62</v>
      </c>
      <c r="F79" s="46">
        <v>20</v>
      </c>
      <c r="G79" s="11">
        <f t="shared" ref="G79:G94" si="4">I79*(2/3)</f>
        <v>1737398.0733333332</v>
      </c>
      <c r="H79" s="11">
        <f t="shared" ref="H79:H94" si="5">I79*(1/3)</f>
        <v>868699.03666666662</v>
      </c>
      <c r="I79" s="11">
        <v>2606097.11</v>
      </c>
    </row>
    <row r="80" spans="1:9" ht="16" x14ac:dyDescent="0.2">
      <c r="A80" s="24">
        <v>6110</v>
      </c>
      <c r="B80" s="13">
        <v>210</v>
      </c>
      <c r="C80" s="13" t="s">
        <v>158</v>
      </c>
      <c r="D80" s="13">
        <v>1</v>
      </c>
      <c r="E80" s="6" t="s">
        <v>127</v>
      </c>
      <c r="F80" s="46"/>
      <c r="G80" s="11">
        <f t="shared" si="4"/>
        <v>187986.47333333333</v>
      </c>
      <c r="H80" s="11">
        <f t="shared" si="5"/>
        <v>93993.236666666664</v>
      </c>
      <c r="I80" s="11">
        <v>281979.71000000002</v>
      </c>
    </row>
    <row r="81" spans="1:9" ht="16" x14ac:dyDescent="0.2">
      <c r="A81" s="24">
        <v>6110</v>
      </c>
      <c r="B81" s="13">
        <v>220</v>
      </c>
      <c r="C81" s="13" t="s">
        <v>158</v>
      </c>
      <c r="D81" s="13">
        <v>1</v>
      </c>
      <c r="E81" s="6" t="s">
        <v>128</v>
      </c>
      <c r="F81" s="46"/>
      <c r="G81" s="11">
        <f t="shared" si="4"/>
        <v>132910.95333333331</v>
      </c>
      <c r="H81" s="11">
        <f t="shared" si="5"/>
        <v>66455.476666666655</v>
      </c>
      <c r="I81" s="11">
        <v>199366.43</v>
      </c>
    </row>
    <row r="82" spans="1:9" ht="16" x14ac:dyDescent="0.2">
      <c r="A82" s="24">
        <v>6110</v>
      </c>
      <c r="B82" s="13">
        <v>231</v>
      </c>
      <c r="C82" s="13" t="s">
        <v>158</v>
      </c>
      <c r="D82" s="13">
        <v>1</v>
      </c>
      <c r="E82" s="6" t="s">
        <v>129</v>
      </c>
      <c r="F82" s="46"/>
      <c r="G82" s="11">
        <f t="shared" si="4"/>
        <v>230205.24666666664</v>
      </c>
      <c r="H82" s="11">
        <f t="shared" si="5"/>
        <v>115102.62333333332</v>
      </c>
      <c r="I82" s="11">
        <v>345307.87</v>
      </c>
    </row>
    <row r="83" spans="1:9" ht="16" x14ac:dyDescent="0.2">
      <c r="A83" s="24">
        <v>6110</v>
      </c>
      <c r="B83" s="13">
        <v>232</v>
      </c>
      <c r="C83" s="13" t="s">
        <v>158</v>
      </c>
      <c r="D83" s="13">
        <v>1</v>
      </c>
      <c r="E83" s="6" t="s">
        <v>130</v>
      </c>
      <c r="F83" s="46"/>
      <c r="G83" s="11">
        <f t="shared" si="4"/>
        <v>3822.2733333333331</v>
      </c>
      <c r="H83" s="11">
        <f t="shared" si="5"/>
        <v>1911.1366666666665</v>
      </c>
      <c r="I83" s="11">
        <v>5733.41</v>
      </c>
    </row>
    <row r="84" spans="1:9" ht="32" x14ac:dyDescent="0.2">
      <c r="A84" s="24">
        <v>6110</v>
      </c>
      <c r="B84" s="13">
        <v>240</v>
      </c>
      <c r="C84" s="13" t="s">
        <v>158</v>
      </c>
      <c r="D84" s="13">
        <v>1</v>
      </c>
      <c r="E84" s="6" t="s">
        <v>131</v>
      </c>
      <c r="F84" s="46"/>
      <c r="G84" s="11">
        <f t="shared" si="4"/>
        <v>17373.98</v>
      </c>
      <c r="H84" s="11">
        <f t="shared" si="5"/>
        <v>8686.99</v>
      </c>
      <c r="I84" s="11">
        <v>26060.97</v>
      </c>
    </row>
    <row r="85" spans="1:9" ht="32" x14ac:dyDescent="0.2">
      <c r="A85" s="24">
        <v>6120</v>
      </c>
      <c r="B85" s="13">
        <v>130</v>
      </c>
      <c r="C85" s="13" t="s">
        <v>158</v>
      </c>
      <c r="D85" s="13">
        <v>1</v>
      </c>
      <c r="E85" s="6" t="s">
        <v>63</v>
      </c>
      <c r="F85" s="46">
        <v>105</v>
      </c>
      <c r="G85" s="11">
        <f t="shared" si="4"/>
        <v>8450755.4666666649</v>
      </c>
      <c r="H85" s="11">
        <f t="shared" si="5"/>
        <v>4225377.7333333325</v>
      </c>
      <c r="I85" s="11">
        <v>12676133.199999999</v>
      </c>
    </row>
    <row r="86" spans="1:9" ht="16" x14ac:dyDescent="0.2">
      <c r="A86" s="24">
        <v>6120</v>
      </c>
      <c r="B86" s="13">
        <v>210</v>
      </c>
      <c r="C86" s="13" t="s">
        <v>158</v>
      </c>
      <c r="D86" s="13">
        <v>1</v>
      </c>
      <c r="E86" s="6" t="s">
        <v>132</v>
      </c>
      <c r="F86" s="46"/>
      <c r="G86" s="11">
        <f t="shared" si="4"/>
        <v>914371.74</v>
      </c>
      <c r="H86" s="11">
        <f t="shared" si="5"/>
        <v>457185.87</v>
      </c>
      <c r="I86" s="11">
        <v>1371557.61</v>
      </c>
    </row>
    <row r="87" spans="1:9" ht="16" x14ac:dyDescent="0.2">
      <c r="A87" s="24">
        <v>6120</v>
      </c>
      <c r="B87" s="13">
        <v>220</v>
      </c>
      <c r="C87" s="13" t="s">
        <v>158</v>
      </c>
      <c r="D87" s="13">
        <v>1</v>
      </c>
      <c r="E87" s="6" t="s">
        <v>133</v>
      </c>
      <c r="F87" s="46"/>
      <c r="G87" s="11">
        <f t="shared" si="4"/>
        <v>646482.79333333322</v>
      </c>
      <c r="H87" s="11">
        <f t="shared" si="5"/>
        <v>323241.39666666661</v>
      </c>
      <c r="I87" s="11">
        <v>969724.19</v>
      </c>
    </row>
    <row r="88" spans="1:9" ht="16" x14ac:dyDescent="0.2">
      <c r="A88" s="24">
        <v>6120</v>
      </c>
      <c r="B88" s="13">
        <v>231</v>
      </c>
      <c r="C88" s="13" t="s">
        <v>158</v>
      </c>
      <c r="D88" s="13">
        <v>1</v>
      </c>
      <c r="E88" s="6" t="s">
        <v>134</v>
      </c>
      <c r="F88" s="46"/>
      <c r="G88" s="11">
        <f t="shared" si="4"/>
        <v>1119725.0999999999</v>
      </c>
      <c r="H88" s="11">
        <f t="shared" si="5"/>
        <v>559862.54999999993</v>
      </c>
      <c r="I88" s="11">
        <v>1679587.65</v>
      </c>
    </row>
    <row r="89" spans="1:9" ht="16" x14ac:dyDescent="0.2">
      <c r="A89" s="24">
        <v>6120</v>
      </c>
      <c r="B89" s="13">
        <v>232</v>
      </c>
      <c r="C89" s="13" t="s">
        <v>158</v>
      </c>
      <c r="D89" s="13">
        <v>1</v>
      </c>
      <c r="E89" s="6" t="s">
        <v>135</v>
      </c>
      <c r="F89" s="46"/>
      <c r="G89" s="11">
        <f t="shared" si="4"/>
        <v>18591.66</v>
      </c>
      <c r="H89" s="11">
        <f t="shared" si="5"/>
        <v>9295.83</v>
      </c>
      <c r="I89" s="11">
        <v>27887.49</v>
      </c>
    </row>
    <row r="90" spans="1:9" ht="16" x14ac:dyDescent="0.2">
      <c r="A90" s="24">
        <v>6120</v>
      </c>
      <c r="B90" s="13">
        <v>240</v>
      </c>
      <c r="C90" s="13" t="s">
        <v>158</v>
      </c>
      <c r="D90" s="13">
        <v>1</v>
      </c>
      <c r="E90" s="6" t="s">
        <v>136</v>
      </c>
      <c r="F90" s="46"/>
      <c r="G90" s="11">
        <f t="shared" si="4"/>
        <v>84507.55333333333</v>
      </c>
      <c r="H90" s="11">
        <f t="shared" si="5"/>
        <v>42253.776666666665</v>
      </c>
      <c r="I90" s="11">
        <v>126761.33</v>
      </c>
    </row>
    <row r="91" spans="1:9" ht="48" x14ac:dyDescent="0.2">
      <c r="A91" s="4">
        <v>6140</v>
      </c>
      <c r="B91" s="13">
        <v>160</v>
      </c>
      <c r="C91" s="13">
        <v>1</v>
      </c>
      <c r="D91" s="13">
        <v>9</v>
      </c>
      <c r="E91" s="5" t="s">
        <v>34</v>
      </c>
      <c r="F91" s="42"/>
      <c r="G91" s="10">
        <f t="shared" si="4"/>
        <v>1666.6666666666665</v>
      </c>
      <c r="H91" s="10">
        <f t="shared" si="5"/>
        <v>833.33333333333326</v>
      </c>
      <c r="I91" s="10">
        <v>2500</v>
      </c>
    </row>
    <row r="92" spans="1:9" ht="16" x14ac:dyDescent="0.2">
      <c r="A92" s="4">
        <v>6140</v>
      </c>
      <c r="B92" s="13">
        <v>210</v>
      </c>
      <c r="C92" s="13">
        <v>1</v>
      </c>
      <c r="D92" s="13">
        <v>9</v>
      </c>
      <c r="E92" s="5" t="s">
        <v>36</v>
      </c>
      <c r="F92" s="42"/>
      <c r="G92" s="10">
        <f t="shared" si="4"/>
        <v>180.33333333333331</v>
      </c>
      <c r="H92" s="10">
        <f t="shared" si="5"/>
        <v>90.166666666666657</v>
      </c>
      <c r="I92" s="10">
        <v>270.5</v>
      </c>
    </row>
    <row r="93" spans="1:9" ht="16" x14ac:dyDescent="0.2">
      <c r="A93" s="4">
        <v>6140</v>
      </c>
      <c r="B93" s="13">
        <v>220</v>
      </c>
      <c r="C93" s="13">
        <v>1</v>
      </c>
      <c r="D93" s="13">
        <v>9</v>
      </c>
      <c r="E93" s="5" t="s">
        <v>37</v>
      </c>
      <c r="F93" s="42"/>
      <c r="G93" s="10">
        <f t="shared" si="4"/>
        <v>127.5</v>
      </c>
      <c r="H93" s="10">
        <f t="shared" si="5"/>
        <v>63.75</v>
      </c>
      <c r="I93" s="10">
        <v>191.25</v>
      </c>
    </row>
    <row r="94" spans="1:9" ht="16" x14ac:dyDescent="0.2">
      <c r="A94" s="4">
        <v>6140</v>
      </c>
      <c r="B94" s="13">
        <v>240</v>
      </c>
      <c r="C94" s="13">
        <v>1</v>
      </c>
      <c r="D94" s="13">
        <v>9</v>
      </c>
      <c r="E94" s="5" t="s">
        <v>38</v>
      </c>
      <c r="F94" s="42"/>
      <c r="G94" s="10">
        <f t="shared" si="4"/>
        <v>16.666666666666664</v>
      </c>
      <c r="H94" s="10">
        <f t="shared" si="5"/>
        <v>8.3333333333333321</v>
      </c>
      <c r="I94" s="10">
        <v>25</v>
      </c>
    </row>
    <row r="95" spans="1:9" ht="16" x14ac:dyDescent="0.2">
      <c r="A95" s="13">
        <v>6300</v>
      </c>
      <c r="B95" s="13">
        <v>330</v>
      </c>
      <c r="C95" s="13">
        <v>1</v>
      </c>
      <c r="D95" s="13">
        <v>10</v>
      </c>
      <c r="E95" s="12" t="s">
        <v>80</v>
      </c>
      <c r="F95" s="43"/>
      <c r="G95" s="10">
        <v>26666.67</v>
      </c>
      <c r="H95" s="10">
        <v>53333.33</v>
      </c>
      <c r="I95" s="14">
        <v>80000</v>
      </c>
    </row>
    <row r="96" spans="1:9" ht="16" x14ac:dyDescent="0.2">
      <c r="A96" s="13">
        <v>6300</v>
      </c>
      <c r="B96" s="13">
        <v>730</v>
      </c>
      <c r="C96" s="13">
        <v>1</v>
      </c>
      <c r="D96" s="13">
        <v>10</v>
      </c>
      <c r="E96" s="12" t="s">
        <v>97</v>
      </c>
      <c r="F96" s="43"/>
      <c r="G96" s="10">
        <v>33333.339999999997</v>
      </c>
      <c r="H96" s="10">
        <v>66666.66</v>
      </c>
      <c r="I96" s="14">
        <v>100000</v>
      </c>
    </row>
    <row r="97" spans="1:10" ht="32" x14ac:dyDescent="0.2">
      <c r="A97" s="24">
        <v>6300</v>
      </c>
      <c r="B97" s="13">
        <v>130</v>
      </c>
      <c r="C97" s="13" t="s">
        <v>155</v>
      </c>
      <c r="D97" s="13">
        <v>4</v>
      </c>
      <c r="E97" s="25" t="s">
        <v>68</v>
      </c>
      <c r="F97" s="47"/>
      <c r="G97" s="11">
        <f t="shared" ref="G97:G104" si="6">I97*(2/3)</f>
        <v>87768</v>
      </c>
      <c r="H97" s="11">
        <f t="shared" ref="H97:H104" si="7">I97*(1/3)</f>
        <v>43884</v>
      </c>
      <c r="I97" s="26">
        <v>131652</v>
      </c>
    </row>
    <row r="98" spans="1:10" ht="80" x14ac:dyDescent="0.2">
      <c r="A98" s="4">
        <v>6300</v>
      </c>
      <c r="B98" s="13">
        <v>130</v>
      </c>
      <c r="C98" s="4" t="s">
        <v>155</v>
      </c>
      <c r="D98" s="4">
        <v>6</v>
      </c>
      <c r="E98" s="5" t="s">
        <v>28</v>
      </c>
      <c r="F98" s="39">
        <v>1</v>
      </c>
      <c r="G98" s="10">
        <f t="shared" si="6"/>
        <v>115979.03333333333</v>
      </c>
      <c r="H98" s="10">
        <f t="shared" si="7"/>
        <v>57989.516666666663</v>
      </c>
      <c r="I98" s="18">
        <v>173968.55</v>
      </c>
    </row>
    <row r="99" spans="1:10" ht="16" x14ac:dyDescent="0.2">
      <c r="A99" s="13">
        <v>6300</v>
      </c>
      <c r="B99" s="13">
        <v>130</v>
      </c>
      <c r="C99" s="13" t="s">
        <v>155</v>
      </c>
      <c r="D99" s="13">
        <v>3</v>
      </c>
      <c r="E99" s="21" t="s">
        <v>91</v>
      </c>
      <c r="F99" s="43">
        <v>1</v>
      </c>
      <c r="G99" s="14">
        <f t="shared" si="6"/>
        <v>119894.44666666667</v>
      </c>
      <c r="H99" s="14">
        <f t="shared" si="7"/>
        <v>59947.223333333335</v>
      </c>
      <c r="I99" s="14">
        <v>179841.67</v>
      </c>
    </row>
    <row r="100" spans="1:10" ht="16" x14ac:dyDescent="0.2">
      <c r="A100" s="4">
        <v>6300</v>
      </c>
      <c r="B100" s="13">
        <v>210</v>
      </c>
      <c r="C100" s="4" t="s">
        <v>155</v>
      </c>
      <c r="D100" s="70" t="s">
        <v>160</v>
      </c>
      <c r="E100" s="5" t="s">
        <v>92</v>
      </c>
      <c r="F100" s="39"/>
      <c r="G100" s="10">
        <f t="shared" si="6"/>
        <v>35018</v>
      </c>
      <c r="H100" s="10">
        <f t="shared" si="7"/>
        <v>17509</v>
      </c>
      <c r="I100" s="18">
        <v>52527</v>
      </c>
    </row>
    <row r="101" spans="1:10" ht="16" x14ac:dyDescent="0.2">
      <c r="A101" s="4">
        <v>6300</v>
      </c>
      <c r="B101" s="13">
        <v>220</v>
      </c>
      <c r="C101" s="4" t="s">
        <v>155</v>
      </c>
      <c r="D101" s="71" t="s">
        <v>160</v>
      </c>
      <c r="E101" s="5" t="s">
        <v>93</v>
      </c>
      <c r="F101" s="39"/>
      <c r="G101" s="10">
        <f t="shared" si="6"/>
        <v>24758.6</v>
      </c>
      <c r="H101" s="10">
        <f t="shared" si="7"/>
        <v>12379.3</v>
      </c>
      <c r="I101" s="18">
        <v>37137.9</v>
      </c>
    </row>
    <row r="102" spans="1:10" ht="16" x14ac:dyDescent="0.2">
      <c r="A102" s="4">
        <v>6300</v>
      </c>
      <c r="B102" s="13">
        <v>231</v>
      </c>
      <c r="C102" s="4" t="s">
        <v>155</v>
      </c>
      <c r="D102" s="71" t="s">
        <v>160</v>
      </c>
      <c r="E102" s="5" t="s">
        <v>94</v>
      </c>
      <c r="F102" s="39"/>
      <c r="G102" s="10">
        <f t="shared" si="6"/>
        <v>42882.46666666666</v>
      </c>
      <c r="H102" s="10">
        <f t="shared" si="7"/>
        <v>21441.23333333333</v>
      </c>
      <c r="I102" s="18">
        <v>64323.7</v>
      </c>
    </row>
    <row r="103" spans="1:10" ht="16" x14ac:dyDescent="0.2">
      <c r="A103" s="13">
        <v>6300</v>
      </c>
      <c r="B103" s="13">
        <v>232</v>
      </c>
      <c r="C103" s="66" t="s">
        <v>155</v>
      </c>
      <c r="D103" s="71" t="s">
        <v>160</v>
      </c>
      <c r="E103" s="21" t="s">
        <v>96</v>
      </c>
      <c r="F103" s="45"/>
      <c r="G103" s="10">
        <f t="shared" si="6"/>
        <v>712.01333333333332</v>
      </c>
      <c r="H103" s="10">
        <f t="shared" si="7"/>
        <v>356.00666666666666</v>
      </c>
      <c r="I103" s="14">
        <v>1068.02</v>
      </c>
    </row>
    <row r="104" spans="1:10" ht="32" x14ac:dyDescent="0.2">
      <c r="A104" s="13">
        <v>6300</v>
      </c>
      <c r="B104" s="13">
        <v>240</v>
      </c>
      <c r="C104" s="66" t="s">
        <v>155</v>
      </c>
      <c r="D104" s="71" t="s">
        <v>160</v>
      </c>
      <c r="E104" s="21" t="s">
        <v>95</v>
      </c>
      <c r="F104" s="45"/>
      <c r="G104" s="10">
        <f t="shared" si="6"/>
        <v>3236.413333333333</v>
      </c>
      <c r="H104" s="10">
        <f t="shared" si="7"/>
        <v>1618.2066666666665</v>
      </c>
      <c r="I104" s="14">
        <v>4854.62</v>
      </c>
    </row>
    <row r="105" spans="1:10" x14ac:dyDescent="0.2">
      <c r="A105" s="13">
        <v>6300</v>
      </c>
      <c r="B105" s="13">
        <v>100</v>
      </c>
      <c r="C105" s="13" t="s">
        <v>159</v>
      </c>
      <c r="D105" s="13">
        <v>1</v>
      </c>
      <c r="E105" s="16" t="s">
        <v>119</v>
      </c>
      <c r="F105" s="43"/>
      <c r="G105" s="10">
        <v>2719000</v>
      </c>
      <c r="H105" s="10">
        <v>0</v>
      </c>
      <c r="I105" s="14">
        <f>2719*1000</f>
        <v>2719000</v>
      </c>
    </row>
    <row r="106" spans="1:10" ht="16" x14ac:dyDescent="0.2">
      <c r="A106" s="13">
        <v>6300</v>
      </c>
      <c r="B106" s="13">
        <v>200</v>
      </c>
      <c r="C106" s="13" t="s">
        <v>159</v>
      </c>
      <c r="D106" s="13">
        <v>1</v>
      </c>
      <c r="E106" s="12" t="s">
        <v>120</v>
      </c>
      <c r="F106" s="43"/>
      <c r="G106" s="10">
        <v>416007</v>
      </c>
      <c r="H106" s="10">
        <v>0</v>
      </c>
      <c r="I106" s="14">
        <f>2719000*15.3%</f>
        <v>416007</v>
      </c>
    </row>
    <row r="107" spans="1:10" ht="32" x14ac:dyDescent="0.2">
      <c r="A107" s="13">
        <v>6400</v>
      </c>
      <c r="B107" s="13">
        <v>100</v>
      </c>
      <c r="C107" s="13">
        <v>1</v>
      </c>
      <c r="D107" s="13">
        <v>10</v>
      </c>
      <c r="E107" s="12" t="s">
        <v>82</v>
      </c>
      <c r="F107" s="43"/>
      <c r="G107" s="14">
        <v>65826</v>
      </c>
      <c r="H107" s="14">
        <v>65826</v>
      </c>
      <c r="I107" s="14">
        <v>131652</v>
      </c>
      <c r="J107" s="3"/>
    </row>
    <row r="108" spans="1:10" ht="35.25" customHeight="1" x14ac:dyDescent="0.2">
      <c r="A108" s="13">
        <v>6400</v>
      </c>
      <c r="B108" s="13">
        <v>130</v>
      </c>
      <c r="C108" s="13">
        <v>1</v>
      </c>
      <c r="D108" s="13">
        <v>10</v>
      </c>
      <c r="E108" s="27" t="s">
        <v>67</v>
      </c>
      <c r="F108" s="45">
        <v>12</v>
      </c>
      <c r="G108" s="11">
        <f>I108*(2/3)</f>
        <v>944637.12666666659</v>
      </c>
      <c r="H108" s="11">
        <f>I108*(1/3)</f>
        <v>472318.5633333333</v>
      </c>
      <c r="I108" s="14">
        <v>1416955.69</v>
      </c>
    </row>
    <row r="109" spans="1:10" ht="80" x14ac:dyDescent="0.2">
      <c r="A109" s="13">
        <v>6400</v>
      </c>
      <c r="B109" s="13">
        <v>160</v>
      </c>
      <c r="C109" s="13">
        <v>1</v>
      </c>
      <c r="D109" s="13">
        <v>10</v>
      </c>
      <c r="E109" s="12" t="s">
        <v>75</v>
      </c>
      <c r="F109" s="43"/>
      <c r="G109" s="14">
        <f>I109*(2/3)</f>
        <v>1666.6666666666665</v>
      </c>
      <c r="H109" s="14">
        <f>I109*(1/3)</f>
        <v>833.33333333333326</v>
      </c>
      <c r="I109" s="14">
        <v>2500</v>
      </c>
    </row>
    <row r="110" spans="1:10" ht="148.5" customHeight="1" x14ac:dyDescent="0.2">
      <c r="A110" s="13">
        <v>6400</v>
      </c>
      <c r="B110" s="13">
        <v>160</v>
      </c>
      <c r="C110" s="13">
        <v>1</v>
      </c>
      <c r="D110" s="13">
        <v>10</v>
      </c>
      <c r="E110" s="5" t="s">
        <v>83</v>
      </c>
      <c r="F110" s="40"/>
      <c r="G110" s="14">
        <v>50000</v>
      </c>
      <c r="H110" s="14">
        <v>100000</v>
      </c>
      <c r="I110" s="14">
        <v>150000</v>
      </c>
      <c r="J110" s="3"/>
    </row>
    <row r="111" spans="1:10" ht="224" x14ac:dyDescent="0.2">
      <c r="A111" s="24">
        <v>6400</v>
      </c>
      <c r="B111" s="13">
        <v>160</v>
      </c>
      <c r="C111" s="13">
        <v>1</v>
      </c>
      <c r="D111" s="13">
        <v>10</v>
      </c>
      <c r="E111" s="6" t="s">
        <v>48</v>
      </c>
      <c r="F111" s="41"/>
      <c r="G111" s="11">
        <v>129276</v>
      </c>
      <c r="H111" s="10">
        <v>258552</v>
      </c>
      <c r="I111" s="14">
        <v>387828</v>
      </c>
    </row>
    <row r="112" spans="1:10" ht="192" x14ac:dyDescent="0.2">
      <c r="A112" s="24">
        <v>6400</v>
      </c>
      <c r="B112" s="13">
        <v>160</v>
      </c>
      <c r="C112" s="13">
        <v>1</v>
      </c>
      <c r="D112" s="13">
        <v>10</v>
      </c>
      <c r="E112" s="6" t="s">
        <v>49</v>
      </c>
      <c r="F112" s="45">
        <v>1</v>
      </c>
      <c r="G112" s="11">
        <v>150000</v>
      </c>
      <c r="H112" s="11">
        <v>300000</v>
      </c>
      <c r="I112" s="11">
        <v>450000</v>
      </c>
    </row>
    <row r="113" spans="1:10" ht="16" x14ac:dyDescent="0.2">
      <c r="A113" s="13">
        <v>6400</v>
      </c>
      <c r="B113" s="13">
        <v>210</v>
      </c>
      <c r="C113" s="13">
        <v>1</v>
      </c>
      <c r="D113" s="13">
        <v>10</v>
      </c>
      <c r="E113" s="21" t="s">
        <v>98</v>
      </c>
      <c r="F113" s="45">
        <v>12</v>
      </c>
      <c r="G113" s="11">
        <f>I113*(2/3)</f>
        <v>155166.5733333333</v>
      </c>
      <c r="H113" s="11">
        <f>I113*(1/3)</f>
        <v>77583.286666666652</v>
      </c>
      <c r="I113" s="14">
        <f>153314.61+79435.25</f>
        <v>232749.86</v>
      </c>
      <c r="J113" s="3"/>
    </row>
    <row r="114" spans="1:10" ht="16" x14ac:dyDescent="0.2">
      <c r="A114" s="13">
        <v>6400</v>
      </c>
      <c r="B114" s="13">
        <v>220</v>
      </c>
      <c r="C114" s="13">
        <v>1</v>
      </c>
      <c r="D114" s="13">
        <v>10</v>
      </c>
      <c r="E114" s="21" t="s">
        <v>99</v>
      </c>
      <c r="F114" s="45">
        <v>12</v>
      </c>
      <c r="G114" s="11">
        <f>I114*(2/3)</f>
        <v>109706.49333333332</v>
      </c>
      <c r="H114" s="11">
        <f>I114*(1/3)</f>
        <v>54853.246666666659</v>
      </c>
      <c r="I114" s="14">
        <f>108397.11+56162.63</f>
        <v>164559.74</v>
      </c>
    </row>
    <row r="115" spans="1:10" ht="32" x14ac:dyDescent="0.2">
      <c r="A115" s="13">
        <v>6400</v>
      </c>
      <c r="B115" s="13">
        <v>231</v>
      </c>
      <c r="C115" s="13">
        <v>1</v>
      </c>
      <c r="D115" s="13">
        <v>10</v>
      </c>
      <c r="E115" s="21" t="s">
        <v>100</v>
      </c>
      <c r="F115" s="45">
        <v>12</v>
      </c>
      <c r="G115" s="11">
        <f>I115*(2/3)</f>
        <v>125164.42</v>
      </c>
      <c r="H115" s="11">
        <f>I115*(1/3)</f>
        <v>62582.21</v>
      </c>
      <c r="I115" s="14">
        <v>187746.63</v>
      </c>
    </row>
    <row r="116" spans="1:10" ht="32" x14ac:dyDescent="0.2">
      <c r="A116" s="13">
        <v>6400</v>
      </c>
      <c r="B116" s="13">
        <v>232</v>
      </c>
      <c r="C116" s="13">
        <v>1</v>
      </c>
      <c r="D116" s="13">
        <v>10</v>
      </c>
      <c r="E116" s="21" t="s">
        <v>101</v>
      </c>
      <c r="F116" s="45">
        <v>12</v>
      </c>
      <c r="G116" s="11">
        <f>I116*(2/3)</f>
        <v>2078.1999999999998</v>
      </c>
      <c r="H116" s="11">
        <f>I116*(1/3)</f>
        <v>1039.0999999999999</v>
      </c>
      <c r="I116" s="14">
        <v>3117.3</v>
      </c>
    </row>
    <row r="117" spans="1:10" ht="32" x14ac:dyDescent="0.2">
      <c r="A117" s="13">
        <v>6400</v>
      </c>
      <c r="B117" s="13">
        <v>240</v>
      </c>
      <c r="C117" s="13">
        <v>1</v>
      </c>
      <c r="D117" s="13">
        <v>10</v>
      </c>
      <c r="E117" s="21" t="s">
        <v>102</v>
      </c>
      <c r="F117" s="45">
        <v>12</v>
      </c>
      <c r="G117" s="11">
        <f>I117*(2/3)</f>
        <v>14340.720000000001</v>
      </c>
      <c r="H117" s="11">
        <f>I117*(1/3)</f>
        <v>7170.3600000000006</v>
      </c>
      <c r="I117" s="14">
        <f>14169.56+7341.52</f>
        <v>21511.08</v>
      </c>
    </row>
    <row r="118" spans="1:10" ht="16" x14ac:dyDescent="0.2">
      <c r="A118" s="13">
        <v>6400</v>
      </c>
      <c r="B118" s="13">
        <v>310</v>
      </c>
      <c r="C118" s="13">
        <v>1</v>
      </c>
      <c r="D118" s="13">
        <v>10</v>
      </c>
      <c r="E118" s="12" t="s">
        <v>81</v>
      </c>
      <c r="F118" s="43"/>
      <c r="G118" s="14">
        <v>16666.669999999998</v>
      </c>
      <c r="H118" s="14">
        <v>33333.33</v>
      </c>
      <c r="I118" s="14">
        <v>50000</v>
      </c>
    </row>
    <row r="119" spans="1:10" ht="240" x14ac:dyDescent="0.2">
      <c r="A119" s="13">
        <v>6400</v>
      </c>
      <c r="B119" s="13">
        <v>310</v>
      </c>
      <c r="C119" s="13">
        <v>1</v>
      </c>
      <c r="D119" s="13">
        <v>10</v>
      </c>
      <c r="E119" s="6" t="s">
        <v>169</v>
      </c>
      <c r="F119" s="41"/>
      <c r="G119" s="11">
        <v>45000</v>
      </c>
      <c r="H119" s="14">
        <v>45000</v>
      </c>
      <c r="I119" s="14">
        <v>90000</v>
      </c>
    </row>
    <row r="120" spans="1:10" ht="138" customHeight="1" x14ac:dyDescent="0.2">
      <c r="A120" s="4">
        <v>6400</v>
      </c>
      <c r="B120" s="13">
        <v>310</v>
      </c>
      <c r="C120" s="13">
        <v>1</v>
      </c>
      <c r="D120" s="13">
        <v>10</v>
      </c>
      <c r="E120" s="5" t="s">
        <v>114</v>
      </c>
      <c r="F120" s="48"/>
      <c r="G120" s="10">
        <v>75000</v>
      </c>
      <c r="H120" s="10">
        <v>75000</v>
      </c>
      <c r="I120" s="10">
        <v>150000</v>
      </c>
    </row>
    <row r="121" spans="1:10" ht="96" x14ac:dyDescent="0.2">
      <c r="A121" s="13">
        <v>6400</v>
      </c>
      <c r="B121" s="13">
        <v>310</v>
      </c>
      <c r="C121" s="13">
        <v>1</v>
      </c>
      <c r="D121" s="13">
        <v>10</v>
      </c>
      <c r="E121" s="6" t="s">
        <v>103</v>
      </c>
      <c r="F121" s="41"/>
      <c r="G121" s="11">
        <f>I121*(2/3)</f>
        <v>3333.333333333333</v>
      </c>
      <c r="H121" s="10">
        <f>I121*(1/3)</f>
        <v>1666.6666666666665</v>
      </c>
      <c r="I121" s="14">
        <v>5000</v>
      </c>
    </row>
    <row r="122" spans="1:10" ht="192" x14ac:dyDescent="0.2">
      <c r="A122" s="13">
        <v>6400</v>
      </c>
      <c r="B122" s="13">
        <v>510</v>
      </c>
      <c r="C122" s="13">
        <v>1</v>
      </c>
      <c r="D122" s="13">
        <v>10</v>
      </c>
      <c r="E122" s="6" t="s">
        <v>115</v>
      </c>
      <c r="F122" s="41"/>
      <c r="G122" s="11">
        <v>33333.33</v>
      </c>
      <c r="H122" s="10">
        <v>16666.669999999998</v>
      </c>
      <c r="I122" s="14">
        <v>50000</v>
      </c>
    </row>
    <row r="123" spans="1:10" ht="160" x14ac:dyDescent="0.2">
      <c r="A123" s="13">
        <v>6400</v>
      </c>
      <c r="B123" s="13">
        <v>369</v>
      </c>
      <c r="C123" s="13" t="s">
        <v>151</v>
      </c>
      <c r="D123" s="13">
        <v>1</v>
      </c>
      <c r="E123" s="6" t="s">
        <v>47</v>
      </c>
      <c r="F123" s="41"/>
      <c r="G123" s="11">
        <v>0</v>
      </c>
      <c r="H123" s="11">
        <v>500000</v>
      </c>
      <c r="I123" s="11">
        <v>500000</v>
      </c>
    </row>
    <row r="124" spans="1:10" ht="16" x14ac:dyDescent="0.2">
      <c r="A124" s="4">
        <v>7200</v>
      </c>
      <c r="B124" s="13">
        <v>792</v>
      </c>
      <c r="C124" s="13" t="s">
        <v>161</v>
      </c>
      <c r="D124" s="13">
        <v>1</v>
      </c>
      <c r="E124" s="5" t="s">
        <v>42</v>
      </c>
      <c r="F124" s="42"/>
      <c r="G124" s="10">
        <f>I124*(2/3)</f>
        <v>2962357.7333333329</v>
      </c>
      <c r="H124" s="10">
        <f>I124*(1/3)</f>
        <v>1481178.8666666665</v>
      </c>
      <c r="I124" s="10">
        <v>4443536.5999999996</v>
      </c>
    </row>
    <row r="125" spans="1:10" ht="32" x14ac:dyDescent="0.2">
      <c r="A125" s="13">
        <v>7300</v>
      </c>
      <c r="B125" s="13">
        <v>310</v>
      </c>
      <c r="C125" s="13">
        <v>1</v>
      </c>
      <c r="D125" s="13">
        <v>10</v>
      </c>
      <c r="E125" s="12" t="s">
        <v>85</v>
      </c>
      <c r="F125" s="43"/>
      <c r="G125" s="10">
        <f>I125*(2/3)</f>
        <v>40000</v>
      </c>
      <c r="H125" s="10">
        <f>I125*(1/3)</f>
        <v>20000</v>
      </c>
      <c r="I125" s="14">
        <v>60000</v>
      </c>
    </row>
    <row r="126" spans="1:10" ht="32" x14ac:dyDescent="0.2">
      <c r="A126" s="13">
        <v>7300</v>
      </c>
      <c r="B126" s="13">
        <v>330</v>
      </c>
      <c r="C126" s="13">
        <v>1</v>
      </c>
      <c r="D126" s="13">
        <v>10</v>
      </c>
      <c r="E126" s="12" t="s">
        <v>86</v>
      </c>
      <c r="F126" s="43"/>
      <c r="G126" s="10">
        <v>3333.33</v>
      </c>
      <c r="H126" s="10">
        <v>6666.67</v>
      </c>
      <c r="I126" s="14">
        <v>10000</v>
      </c>
    </row>
    <row r="127" spans="1:10" ht="32" x14ac:dyDescent="0.2">
      <c r="A127" s="13">
        <v>7300</v>
      </c>
      <c r="B127" s="13">
        <v>360</v>
      </c>
      <c r="C127" s="13">
        <v>1</v>
      </c>
      <c r="D127" s="13">
        <v>10</v>
      </c>
      <c r="E127" s="12" t="s">
        <v>87</v>
      </c>
      <c r="F127" s="43"/>
      <c r="G127" s="10">
        <v>3333.33</v>
      </c>
      <c r="H127" s="10">
        <v>6666.67</v>
      </c>
      <c r="I127" s="14">
        <v>10000</v>
      </c>
    </row>
    <row r="128" spans="1:10" ht="48" x14ac:dyDescent="0.2">
      <c r="A128" s="4">
        <v>7500</v>
      </c>
      <c r="B128" s="13">
        <v>110</v>
      </c>
      <c r="C128" s="13" t="s">
        <v>163</v>
      </c>
      <c r="D128" s="13">
        <v>1</v>
      </c>
      <c r="E128" s="5" t="s">
        <v>66</v>
      </c>
      <c r="F128" s="42">
        <v>2</v>
      </c>
      <c r="G128" s="10">
        <f t="shared" ref="G128:G133" si="8">I128*(2/3)</f>
        <v>244784.12666666665</v>
      </c>
      <c r="H128" s="10">
        <f t="shared" ref="H128:H133" si="9">I128*(1/3)</f>
        <v>122392.06333333332</v>
      </c>
      <c r="I128" s="10">
        <v>367176.19</v>
      </c>
    </row>
    <row r="129" spans="1:9" ht="16" x14ac:dyDescent="0.2">
      <c r="A129" s="4">
        <v>7500</v>
      </c>
      <c r="B129" s="13">
        <v>210</v>
      </c>
      <c r="C129" s="13" t="s">
        <v>163</v>
      </c>
      <c r="D129" s="13">
        <v>1</v>
      </c>
      <c r="E129" s="5" t="s">
        <v>137</v>
      </c>
      <c r="F129" s="42"/>
      <c r="G129" s="10">
        <f t="shared" si="8"/>
        <v>26485.64</v>
      </c>
      <c r="H129" s="10">
        <f t="shared" si="9"/>
        <v>13242.82</v>
      </c>
      <c r="I129" s="10">
        <v>39728.46</v>
      </c>
    </row>
    <row r="130" spans="1:9" ht="16" x14ac:dyDescent="0.2">
      <c r="A130" s="4">
        <v>7500</v>
      </c>
      <c r="B130" s="13">
        <v>220</v>
      </c>
      <c r="C130" s="13" t="s">
        <v>163</v>
      </c>
      <c r="D130" s="13">
        <v>1</v>
      </c>
      <c r="E130" s="5" t="s">
        <v>138</v>
      </c>
      <c r="F130" s="42"/>
      <c r="G130" s="10">
        <f t="shared" si="8"/>
        <v>18725.986666666664</v>
      </c>
      <c r="H130" s="10">
        <f t="shared" si="9"/>
        <v>9362.993333333332</v>
      </c>
      <c r="I130" s="10">
        <v>28088.98</v>
      </c>
    </row>
    <row r="131" spans="1:9" ht="16" x14ac:dyDescent="0.2">
      <c r="A131" s="4">
        <v>7500</v>
      </c>
      <c r="B131" s="13">
        <v>231</v>
      </c>
      <c r="C131" s="13" t="s">
        <v>163</v>
      </c>
      <c r="D131" s="13">
        <v>1</v>
      </c>
      <c r="E131" s="5" t="s">
        <v>139</v>
      </c>
      <c r="F131" s="42"/>
      <c r="G131" s="10">
        <f t="shared" si="8"/>
        <v>32433.899999999998</v>
      </c>
      <c r="H131" s="10">
        <f t="shared" si="9"/>
        <v>16216.949999999999</v>
      </c>
      <c r="I131" s="10">
        <v>48650.85</v>
      </c>
    </row>
    <row r="132" spans="1:9" ht="16" x14ac:dyDescent="0.2">
      <c r="A132" s="4">
        <v>7500</v>
      </c>
      <c r="B132" s="13">
        <v>232</v>
      </c>
      <c r="C132" s="13" t="s">
        <v>163</v>
      </c>
      <c r="D132" s="13">
        <v>1</v>
      </c>
      <c r="E132" s="5" t="s">
        <v>140</v>
      </c>
      <c r="F132" s="42"/>
      <c r="G132" s="10">
        <f t="shared" si="8"/>
        <v>538.52666666666664</v>
      </c>
      <c r="H132" s="10">
        <f t="shared" si="9"/>
        <v>269.26333333333332</v>
      </c>
      <c r="I132" s="10">
        <v>807.79</v>
      </c>
    </row>
    <row r="133" spans="1:9" ht="32" x14ac:dyDescent="0.2">
      <c r="A133" s="4">
        <v>7500</v>
      </c>
      <c r="B133" s="13">
        <v>240</v>
      </c>
      <c r="C133" s="13" t="s">
        <v>163</v>
      </c>
      <c r="D133" s="13">
        <v>1</v>
      </c>
      <c r="E133" s="5" t="s">
        <v>141</v>
      </c>
      <c r="F133" s="42"/>
      <c r="G133" s="10">
        <f t="shared" si="8"/>
        <v>2447.833333333333</v>
      </c>
      <c r="H133" s="10">
        <f t="shared" si="9"/>
        <v>1223.9166666666665</v>
      </c>
      <c r="I133" s="10">
        <v>3671.75</v>
      </c>
    </row>
    <row r="134" spans="1:9" ht="32" x14ac:dyDescent="0.2">
      <c r="A134" s="4">
        <v>7800</v>
      </c>
      <c r="B134" s="13">
        <v>790</v>
      </c>
      <c r="C134" s="4" t="s">
        <v>149</v>
      </c>
      <c r="D134" s="4">
        <v>1</v>
      </c>
      <c r="E134" s="5" t="s">
        <v>32</v>
      </c>
      <c r="F134" s="37"/>
      <c r="G134" s="10">
        <v>2666.67</v>
      </c>
      <c r="H134" s="10">
        <v>5333.33</v>
      </c>
      <c r="I134" s="10">
        <v>8000</v>
      </c>
    </row>
    <row r="135" spans="1:9" ht="16" x14ac:dyDescent="0.2">
      <c r="A135" s="4">
        <v>7800</v>
      </c>
      <c r="B135" s="13">
        <v>110</v>
      </c>
      <c r="C135" s="13" t="s">
        <v>147</v>
      </c>
      <c r="D135" s="13">
        <v>5</v>
      </c>
      <c r="E135" s="5" t="s">
        <v>76</v>
      </c>
      <c r="F135" s="42">
        <v>1</v>
      </c>
      <c r="G135" s="10">
        <f t="shared" ref="G135:G140" si="10">I135*(2/3)</f>
        <v>33260.759999999995</v>
      </c>
      <c r="H135" s="10">
        <f t="shared" ref="H135:H140" si="11">I135*(1/3)</f>
        <v>16630.379999999997</v>
      </c>
      <c r="I135" s="10">
        <v>49891.14</v>
      </c>
    </row>
    <row r="136" spans="1:9" ht="16" x14ac:dyDescent="0.2">
      <c r="A136" s="4">
        <v>7800</v>
      </c>
      <c r="B136" s="13">
        <v>210</v>
      </c>
      <c r="C136" s="13" t="s">
        <v>147</v>
      </c>
      <c r="D136" s="13">
        <v>5</v>
      </c>
      <c r="E136" s="5" t="s">
        <v>142</v>
      </c>
      <c r="F136" s="42"/>
      <c r="G136" s="10">
        <f t="shared" si="10"/>
        <v>3598.8199999999997</v>
      </c>
      <c r="H136" s="10">
        <f t="shared" si="11"/>
        <v>1799.4099999999999</v>
      </c>
      <c r="I136" s="10">
        <v>5398.23</v>
      </c>
    </row>
    <row r="137" spans="1:9" ht="16" x14ac:dyDescent="0.2">
      <c r="A137" s="4">
        <v>7800</v>
      </c>
      <c r="B137" s="13">
        <v>220</v>
      </c>
      <c r="C137" s="13" t="s">
        <v>147</v>
      </c>
      <c r="D137" s="13">
        <v>5</v>
      </c>
      <c r="E137" s="5" t="s">
        <v>143</v>
      </c>
      <c r="F137" s="42"/>
      <c r="G137" s="10">
        <f t="shared" si="10"/>
        <v>2544.4533333333329</v>
      </c>
      <c r="H137" s="10">
        <f t="shared" si="11"/>
        <v>1272.2266666666665</v>
      </c>
      <c r="I137" s="10">
        <v>3816.68</v>
      </c>
    </row>
    <row r="138" spans="1:9" ht="32" x14ac:dyDescent="0.2">
      <c r="A138" s="4">
        <v>7800</v>
      </c>
      <c r="B138" s="13">
        <v>230</v>
      </c>
      <c r="C138" s="13" t="s">
        <v>147</v>
      </c>
      <c r="D138" s="13">
        <v>5</v>
      </c>
      <c r="E138" s="5" t="s">
        <v>144</v>
      </c>
      <c r="F138" s="42"/>
      <c r="G138" s="10">
        <f t="shared" si="10"/>
        <v>4407.0533333333333</v>
      </c>
      <c r="H138" s="10">
        <f t="shared" si="11"/>
        <v>2203.5266666666666</v>
      </c>
      <c r="I138" s="10">
        <v>6610.58</v>
      </c>
    </row>
    <row r="139" spans="1:9" ht="16" x14ac:dyDescent="0.2">
      <c r="A139" s="4">
        <v>7800</v>
      </c>
      <c r="B139" s="13">
        <v>230</v>
      </c>
      <c r="C139" s="13" t="s">
        <v>147</v>
      </c>
      <c r="D139" s="13">
        <v>5</v>
      </c>
      <c r="E139" s="5" t="s">
        <v>145</v>
      </c>
      <c r="F139" s="42"/>
      <c r="G139" s="10">
        <f t="shared" si="10"/>
        <v>73.173333333333332</v>
      </c>
      <c r="H139" s="10">
        <f t="shared" si="11"/>
        <v>36.586666666666666</v>
      </c>
      <c r="I139" s="10">
        <v>109.76</v>
      </c>
    </row>
    <row r="140" spans="1:9" ht="32" x14ac:dyDescent="0.2">
      <c r="A140" s="4">
        <v>7800</v>
      </c>
      <c r="B140" s="13">
        <v>240</v>
      </c>
      <c r="C140" s="13" t="s">
        <v>147</v>
      </c>
      <c r="D140" s="13">
        <v>5</v>
      </c>
      <c r="E140" s="5" t="s">
        <v>146</v>
      </c>
      <c r="F140" s="42"/>
      <c r="G140" s="10">
        <f t="shared" si="10"/>
        <v>332.61333333333334</v>
      </c>
      <c r="H140" s="10">
        <f t="shared" si="11"/>
        <v>166.30666666666667</v>
      </c>
      <c r="I140" s="10">
        <v>498.92</v>
      </c>
    </row>
    <row r="141" spans="1:9" ht="48" x14ac:dyDescent="0.2">
      <c r="A141" s="4">
        <v>7800</v>
      </c>
      <c r="B141" s="13">
        <v>790</v>
      </c>
      <c r="C141" s="4" t="s">
        <v>153</v>
      </c>
      <c r="D141" s="4" t="s">
        <v>162</v>
      </c>
      <c r="E141" s="5" t="s">
        <v>27</v>
      </c>
      <c r="F141" s="39"/>
      <c r="G141" s="10">
        <v>722400</v>
      </c>
      <c r="H141" s="10">
        <f>722400+722400</f>
        <v>1444800</v>
      </c>
      <c r="I141" s="18">
        <v>2167200</v>
      </c>
    </row>
    <row r="142" spans="1:9" x14ac:dyDescent="0.2">
      <c r="A142" s="13">
        <v>7900</v>
      </c>
      <c r="B142" s="13">
        <v>390</v>
      </c>
      <c r="C142" s="13" t="s">
        <v>163</v>
      </c>
      <c r="D142" s="66">
        <v>2</v>
      </c>
      <c r="E142" s="28" t="s">
        <v>74</v>
      </c>
      <c r="F142" s="43"/>
      <c r="G142" s="10">
        <f>I142*(2/3)</f>
        <v>66666.666666666657</v>
      </c>
      <c r="H142" s="10">
        <f>I142*(1/3)</f>
        <v>33333.333333333328</v>
      </c>
      <c r="I142" s="29">
        <v>100000</v>
      </c>
    </row>
    <row r="143" spans="1:9" ht="32" x14ac:dyDescent="0.2">
      <c r="A143" s="13">
        <v>7900</v>
      </c>
      <c r="B143" s="52">
        <v>310</v>
      </c>
      <c r="C143" s="13" t="s">
        <v>165</v>
      </c>
      <c r="D143" s="13">
        <v>2</v>
      </c>
      <c r="E143" s="31" t="s">
        <v>104</v>
      </c>
      <c r="F143" s="43"/>
      <c r="G143" s="10">
        <f>I143*(2/3)</f>
        <v>5641.5399999999991</v>
      </c>
      <c r="H143" s="10">
        <f>I143*(1/3)</f>
        <v>2820.7699999999995</v>
      </c>
      <c r="I143" s="29">
        <v>8462.31</v>
      </c>
    </row>
    <row r="144" spans="1:9" ht="32" x14ac:dyDescent="0.2">
      <c r="A144" s="13">
        <v>7900</v>
      </c>
      <c r="B144" s="13">
        <v>510</v>
      </c>
      <c r="C144" s="13" t="s">
        <v>164</v>
      </c>
      <c r="D144" s="13">
        <v>1</v>
      </c>
      <c r="E144" s="30" t="s">
        <v>116</v>
      </c>
      <c r="F144" s="43"/>
      <c r="G144" s="10">
        <v>100000</v>
      </c>
      <c r="H144" s="10">
        <v>200000</v>
      </c>
      <c r="I144" s="29">
        <v>300000</v>
      </c>
    </row>
    <row r="145" spans="1:9" ht="16" x14ac:dyDescent="0.2">
      <c r="A145" s="32">
        <v>7900</v>
      </c>
      <c r="B145" s="32">
        <v>510</v>
      </c>
      <c r="C145" s="13" t="s">
        <v>164</v>
      </c>
      <c r="D145" s="13">
        <v>1</v>
      </c>
      <c r="E145" s="76" t="s">
        <v>51</v>
      </c>
      <c r="F145" s="49"/>
      <c r="G145" s="10">
        <v>200000</v>
      </c>
      <c r="H145" s="10">
        <v>300000</v>
      </c>
      <c r="I145" s="33">
        <v>500000</v>
      </c>
    </row>
    <row r="146" spans="1:9" ht="64" x14ac:dyDescent="0.2">
      <c r="A146" s="13">
        <v>7900</v>
      </c>
      <c r="B146" s="13">
        <v>640</v>
      </c>
      <c r="C146" s="64" t="s">
        <v>164</v>
      </c>
      <c r="D146" s="64">
        <v>1</v>
      </c>
      <c r="E146" s="30" t="s">
        <v>117</v>
      </c>
      <c r="F146" s="43"/>
      <c r="G146" s="10">
        <v>250000</v>
      </c>
      <c r="H146" s="10">
        <v>1250000</v>
      </c>
      <c r="I146" s="29">
        <v>1500000</v>
      </c>
    </row>
    <row r="147" spans="1:9" ht="32" x14ac:dyDescent="0.2">
      <c r="A147" s="13">
        <v>8100</v>
      </c>
      <c r="B147" s="13">
        <v>640</v>
      </c>
      <c r="C147" s="13" t="s">
        <v>166</v>
      </c>
      <c r="D147" s="13">
        <v>1</v>
      </c>
      <c r="E147" s="31" t="s">
        <v>43</v>
      </c>
      <c r="F147" s="43"/>
      <c r="G147" s="10">
        <v>11789.58</v>
      </c>
      <c r="H147" s="10">
        <f>25000-11789.58</f>
        <v>13210.42</v>
      </c>
      <c r="I147" s="29">
        <v>25000</v>
      </c>
    </row>
    <row r="148" spans="1:9" ht="16" x14ac:dyDescent="0.2">
      <c r="A148" s="4">
        <v>8200</v>
      </c>
      <c r="B148" s="13">
        <v>649</v>
      </c>
      <c r="C148" s="13" t="s">
        <v>151</v>
      </c>
      <c r="D148" s="13">
        <v>2</v>
      </c>
      <c r="E148" s="5" t="s">
        <v>39</v>
      </c>
      <c r="F148" s="42"/>
      <c r="G148" s="10">
        <v>240555</v>
      </c>
      <c r="H148" s="10">
        <v>240555</v>
      </c>
      <c r="I148" s="10">
        <v>481110</v>
      </c>
    </row>
    <row r="149" spans="1:9" ht="16" x14ac:dyDescent="0.2">
      <c r="A149" s="4">
        <v>8200</v>
      </c>
      <c r="B149" s="13">
        <v>649</v>
      </c>
      <c r="C149" s="13" t="s">
        <v>151</v>
      </c>
      <c r="D149" s="13">
        <v>2</v>
      </c>
      <c r="E149" s="5" t="s">
        <v>40</v>
      </c>
      <c r="F149" s="42"/>
      <c r="G149" s="10">
        <v>300000</v>
      </c>
      <c r="H149" s="10">
        <v>660000</v>
      </c>
      <c r="I149" s="10">
        <v>960000</v>
      </c>
    </row>
    <row r="150" spans="1:9" ht="64" x14ac:dyDescent="0.2">
      <c r="A150" s="13">
        <v>9100</v>
      </c>
      <c r="B150" s="13">
        <v>310</v>
      </c>
      <c r="C150" s="13" t="s">
        <v>159</v>
      </c>
      <c r="D150" s="13">
        <v>2</v>
      </c>
      <c r="E150" s="6" t="s">
        <v>118</v>
      </c>
      <c r="F150" s="45"/>
      <c r="G150" s="14">
        <v>25000</v>
      </c>
      <c r="H150" s="14">
        <v>25000</v>
      </c>
      <c r="I150" s="14">
        <v>50000</v>
      </c>
    </row>
    <row r="151" spans="1:9" x14ac:dyDescent="0.2">
      <c r="A151" s="13">
        <v>9700</v>
      </c>
      <c r="B151" s="13">
        <v>910</v>
      </c>
      <c r="C151" s="13" t="s">
        <v>159</v>
      </c>
      <c r="D151" s="13">
        <v>3</v>
      </c>
      <c r="E151" s="16" t="s">
        <v>53</v>
      </c>
      <c r="F151" s="43"/>
      <c r="G151" s="10">
        <v>2500000</v>
      </c>
      <c r="H151" s="10">
        <v>500000</v>
      </c>
      <c r="I151" s="14">
        <v>3000000</v>
      </c>
    </row>
    <row r="152" spans="1:9" x14ac:dyDescent="0.2">
      <c r="A152" s="89" t="s">
        <v>5</v>
      </c>
      <c r="B152" s="89"/>
      <c r="C152" s="89"/>
      <c r="D152" s="89"/>
      <c r="E152" s="89"/>
      <c r="F152" s="90"/>
      <c r="G152" s="63">
        <f>SUM(G10:G151)</f>
        <v>59247154.670000002</v>
      </c>
      <c r="H152" s="63">
        <f>SUM(H10:H151)</f>
        <v>29623577.330000002</v>
      </c>
      <c r="I152" s="63">
        <f>SUM(I10:I151)</f>
        <v>88870732</v>
      </c>
    </row>
    <row r="154" spans="1:9" x14ac:dyDescent="0.2">
      <c r="A154" s="91" t="s">
        <v>15</v>
      </c>
      <c r="B154" s="91"/>
      <c r="C154" s="91"/>
      <c r="H154" s="7"/>
    </row>
    <row r="155" spans="1:9" x14ac:dyDescent="0.2">
      <c r="A155" s="8"/>
      <c r="B155" s="8"/>
      <c r="C155" s="9" t="s">
        <v>7</v>
      </c>
      <c r="D155" s="81" t="s">
        <v>6</v>
      </c>
      <c r="E155" s="81"/>
      <c r="F155" s="50"/>
      <c r="G155" s="8"/>
      <c r="H155" s="7"/>
    </row>
    <row r="157" spans="1:9" x14ac:dyDescent="0.2">
      <c r="A157" s="80"/>
      <c r="B157" s="80"/>
      <c r="C157" s="80"/>
      <c r="D157" s="80"/>
      <c r="E157" s="80"/>
      <c r="F157" s="80"/>
      <c r="G157" s="80"/>
    </row>
    <row r="159" spans="1:9" x14ac:dyDescent="0.2">
      <c r="G159" s="62">
        <f>I152*(2/3)</f>
        <v>59247154.666666664</v>
      </c>
      <c r="H159" s="62">
        <f>I152*(1/3)</f>
        <v>29623577.333333332</v>
      </c>
    </row>
    <row r="160" spans="1:9" x14ac:dyDescent="0.2">
      <c r="G160" s="62">
        <f>G159-G152</f>
        <v>-3.3333376049995422E-3</v>
      </c>
      <c r="H160" s="62">
        <f>H159-H152</f>
        <v>3.3333301544189453E-3</v>
      </c>
    </row>
    <row r="161" spans="7:8" x14ac:dyDescent="0.2">
      <c r="G161" s="62"/>
      <c r="H161" s="62"/>
    </row>
  </sheetData>
  <autoFilter ref="A9:I152" xr:uid="{00000000-0009-0000-0000-000000000000}"/>
  <sortState xmlns:xlrd2="http://schemas.microsoft.com/office/spreadsheetml/2017/richdata2" ref="A10:I151">
    <sortCondition ref="A10:A151"/>
    <sortCondition ref="C10:C151"/>
    <sortCondition ref="B10:B151"/>
  </sortState>
  <mergeCells count="9">
    <mergeCell ref="A157:G157"/>
    <mergeCell ref="D155:E155"/>
    <mergeCell ref="A1:D2"/>
    <mergeCell ref="H1:I3"/>
    <mergeCell ref="A3:D4"/>
    <mergeCell ref="A152:F152"/>
    <mergeCell ref="A154:C154"/>
    <mergeCell ref="A7:I7"/>
    <mergeCell ref="A6:I6"/>
  </mergeCells>
  <pageMargins left="0.25" right="0.25" top="0.75" bottom="0.75" header="0.3" footer="0.3"/>
  <pageSetup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workbookViewId="0">
      <selection activeCell="L1" sqref="L1"/>
    </sheetView>
  </sheetViews>
  <sheetFormatPr baseColWidth="10" defaultColWidth="9.1640625" defaultRowHeight="15" x14ac:dyDescent="0.2"/>
  <cols>
    <col min="1" max="1" width="5" style="54" bestFit="1" customWidth="1"/>
    <col min="2" max="2" width="4" style="54" bestFit="1" customWidth="1"/>
    <col min="3" max="4" width="2" style="54" bestFit="1" customWidth="1"/>
    <col min="5" max="5" width="23.83203125" style="54" bestFit="1" customWidth="1"/>
    <col min="6" max="6" width="6.5" style="54" bestFit="1" customWidth="1"/>
    <col min="7" max="9" width="12.5" style="54" bestFit="1" customWidth="1"/>
    <col min="10" max="11" width="9.1640625" style="54"/>
    <col min="12" max="12" width="13.83203125" style="54" bestFit="1" customWidth="1"/>
    <col min="13" max="13" width="12.5" style="54" bestFit="1" customWidth="1"/>
    <col min="14" max="16384" width="9.1640625" style="54"/>
  </cols>
  <sheetData>
    <row r="1" spans="1:13" ht="192" x14ac:dyDescent="0.2">
      <c r="A1" s="53">
        <v>5100</v>
      </c>
      <c r="B1" s="52">
        <v>120</v>
      </c>
      <c r="C1" s="53" t="s">
        <v>33</v>
      </c>
      <c r="D1" s="53">
        <v>2</v>
      </c>
      <c r="E1" s="5" t="s">
        <v>54</v>
      </c>
      <c r="F1" s="39">
        <v>1</v>
      </c>
      <c r="G1" s="18">
        <f t="shared" ref="G1:G15" si="0">I1*(2/3)</f>
        <v>78992</v>
      </c>
      <c r="H1" s="18">
        <f t="shared" ref="H1:H15" si="1">I1*(1/3)</f>
        <v>39496</v>
      </c>
      <c r="I1" s="18">
        <f>116614+1874</f>
        <v>118488</v>
      </c>
      <c r="L1" s="61">
        <f>I1+I2+I3+I4+I5+I6+I7+I8+I9</f>
        <v>11404936.190000001</v>
      </c>
      <c r="M1" s="61">
        <f>I10+I11+I13+I14+I12+I15</f>
        <v>1152603</v>
      </c>
    </row>
    <row r="2" spans="1:13" ht="48" x14ac:dyDescent="0.2">
      <c r="A2" s="53">
        <v>5100</v>
      </c>
      <c r="B2" s="52">
        <v>120</v>
      </c>
      <c r="C2" s="53"/>
      <c r="D2" s="53"/>
      <c r="E2" s="5" t="s">
        <v>106</v>
      </c>
      <c r="F2" s="39">
        <v>9</v>
      </c>
      <c r="G2" s="18">
        <f t="shared" si="0"/>
        <v>1040181.1133333333</v>
      </c>
      <c r="H2" s="18">
        <f t="shared" si="1"/>
        <v>520090.55666666664</v>
      </c>
      <c r="I2" s="18">
        <v>1560271.67</v>
      </c>
    </row>
    <row r="3" spans="1:13" ht="64" x14ac:dyDescent="0.2">
      <c r="A3" s="53">
        <v>5100</v>
      </c>
      <c r="B3" s="52">
        <v>120</v>
      </c>
      <c r="C3" s="53"/>
      <c r="D3" s="53"/>
      <c r="E3" s="5" t="s">
        <v>60</v>
      </c>
      <c r="F3" s="39">
        <v>31</v>
      </c>
      <c r="G3" s="18">
        <f t="shared" si="0"/>
        <v>2316712</v>
      </c>
      <c r="H3" s="18">
        <f t="shared" si="1"/>
        <v>1158356</v>
      </c>
      <c r="I3" s="18">
        <v>3475068</v>
      </c>
    </row>
    <row r="4" spans="1:13" ht="64" x14ac:dyDescent="0.2">
      <c r="A4" s="53">
        <v>5100</v>
      </c>
      <c r="B4" s="52">
        <v>120</v>
      </c>
      <c r="C4" s="53"/>
      <c r="D4" s="53"/>
      <c r="E4" s="5" t="s">
        <v>65</v>
      </c>
      <c r="F4" s="39">
        <v>14</v>
      </c>
      <c r="G4" s="18">
        <f t="shared" si="0"/>
        <v>922479.47333333327</v>
      </c>
      <c r="H4" s="18">
        <f t="shared" si="1"/>
        <v>461239.73666666663</v>
      </c>
      <c r="I4" s="18">
        <v>1383719.21</v>
      </c>
    </row>
    <row r="5" spans="1:13" ht="192" x14ac:dyDescent="0.2">
      <c r="A5" s="53">
        <v>5100</v>
      </c>
      <c r="B5" s="52">
        <v>150</v>
      </c>
      <c r="C5" s="53" t="s">
        <v>33</v>
      </c>
      <c r="D5" s="53">
        <v>2</v>
      </c>
      <c r="E5" s="5" t="s">
        <v>55</v>
      </c>
      <c r="F5" s="39">
        <v>1</v>
      </c>
      <c r="G5" s="18">
        <f t="shared" si="0"/>
        <v>39980</v>
      </c>
      <c r="H5" s="18">
        <f t="shared" si="1"/>
        <v>19990</v>
      </c>
      <c r="I5" s="18">
        <v>59970</v>
      </c>
    </row>
    <row r="6" spans="1:13" ht="224" x14ac:dyDescent="0.2">
      <c r="A6" s="53">
        <v>5100</v>
      </c>
      <c r="B6" s="52">
        <v>150</v>
      </c>
      <c r="C6" s="52"/>
      <c r="D6" s="52"/>
      <c r="E6" s="19" t="s">
        <v>57</v>
      </c>
      <c r="F6" s="39">
        <v>6</v>
      </c>
      <c r="G6" s="18">
        <f t="shared" si="0"/>
        <v>210202</v>
      </c>
      <c r="H6" s="18">
        <f t="shared" si="1"/>
        <v>105101</v>
      </c>
      <c r="I6" s="55">
        <v>315303</v>
      </c>
    </row>
    <row r="7" spans="1:13" ht="64" x14ac:dyDescent="0.2">
      <c r="A7" s="53">
        <v>5100</v>
      </c>
      <c r="B7" s="52">
        <v>150</v>
      </c>
      <c r="C7" s="52"/>
      <c r="D7" s="52"/>
      <c r="E7" s="19" t="s">
        <v>64</v>
      </c>
      <c r="F7" s="39">
        <v>14</v>
      </c>
      <c r="G7" s="18">
        <f t="shared" si="0"/>
        <v>375889.0733333333</v>
      </c>
      <c r="H7" s="18">
        <f t="shared" si="1"/>
        <v>187944.53666666665</v>
      </c>
      <c r="I7" s="55">
        <v>563833.61</v>
      </c>
    </row>
    <row r="8" spans="1:13" ht="48" x14ac:dyDescent="0.2">
      <c r="A8" s="53">
        <v>5100</v>
      </c>
      <c r="B8" s="52">
        <v>150</v>
      </c>
      <c r="C8" s="52"/>
      <c r="D8" s="52"/>
      <c r="E8" s="19" t="s">
        <v>107</v>
      </c>
      <c r="F8" s="39">
        <v>14</v>
      </c>
      <c r="G8" s="18">
        <f t="shared" si="0"/>
        <v>568284.46666666656</v>
      </c>
      <c r="H8" s="18">
        <f t="shared" si="1"/>
        <v>284142.23333333328</v>
      </c>
      <c r="I8" s="55">
        <v>852426.7</v>
      </c>
    </row>
    <row r="9" spans="1:13" ht="48" x14ac:dyDescent="0.2">
      <c r="A9" s="53">
        <v>5100</v>
      </c>
      <c r="B9" s="52">
        <v>150</v>
      </c>
      <c r="C9" s="52"/>
      <c r="D9" s="52"/>
      <c r="E9" s="19" t="s">
        <v>61</v>
      </c>
      <c r="F9" s="39">
        <v>80</v>
      </c>
      <c r="G9" s="18">
        <f t="shared" si="0"/>
        <v>2050570.6666666665</v>
      </c>
      <c r="H9" s="18">
        <f t="shared" si="1"/>
        <v>1025285.3333333333</v>
      </c>
      <c r="I9" s="55">
        <v>3075856</v>
      </c>
    </row>
    <row r="10" spans="1:13" ht="240" x14ac:dyDescent="0.2">
      <c r="A10" s="53">
        <v>5100</v>
      </c>
      <c r="B10" s="52">
        <v>160</v>
      </c>
      <c r="C10" s="53" t="s">
        <v>33</v>
      </c>
      <c r="D10" s="53">
        <v>2</v>
      </c>
      <c r="E10" s="5" t="s">
        <v>78</v>
      </c>
      <c r="F10" s="39"/>
      <c r="G10" s="18">
        <f t="shared" si="0"/>
        <v>100000</v>
      </c>
      <c r="H10" s="18">
        <f t="shared" si="1"/>
        <v>50000</v>
      </c>
      <c r="I10" s="18">
        <v>150000</v>
      </c>
    </row>
    <row r="11" spans="1:13" ht="192" x14ac:dyDescent="0.2">
      <c r="A11" s="52">
        <v>5100</v>
      </c>
      <c r="B11" s="52">
        <v>160</v>
      </c>
      <c r="C11" s="52"/>
      <c r="D11" s="52"/>
      <c r="E11" s="51" t="s">
        <v>105</v>
      </c>
      <c r="F11" s="56"/>
      <c r="G11" s="57">
        <f t="shared" si="0"/>
        <v>286000</v>
      </c>
      <c r="H11" s="57">
        <f t="shared" si="1"/>
        <v>143000</v>
      </c>
      <c r="I11" s="57">
        <v>429000</v>
      </c>
    </row>
    <row r="12" spans="1:13" ht="350" x14ac:dyDescent="0.2">
      <c r="A12" s="53">
        <v>5100</v>
      </c>
      <c r="B12" s="52">
        <v>160</v>
      </c>
      <c r="C12" s="53" t="s">
        <v>33</v>
      </c>
      <c r="D12" s="53">
        <v>2</v>
      </c>
      <c r="E12" s="5" t="s">
        <v>56</v>
      </c>
      <c r="F12" s="39"/>
      <c r="G12" s="18">
        <f t="shared" si="0"/>
        <v>9600</v>
      </c>
      <c r="H12" s="18">
        <f t="shared" si="1"/>
        <v>4800</v>
      </c>
      <c r="I12" s="18">
        <v>14400</v>
      </c>
    </row>
    <row r="13" spans="1:13" ht="335" x14ac:dyDescent="0.2">
      <c r="A13" s="52">
        <v>5100</v>
      </c>
      <c r="B13" s="52">
        <v>160</v>
      </c>
      <c r="C13" s="52"/>
      <c r="D13" s="52"/>
      <c r="E13" s="6" t="s">
        <v>77</v>
      </c>
      <c r="F13" s="38"/>
      <c r="G13" s="57">
        <f t="shared" si="0"/>
        <v>55802</v>
      </c>
      <c r="H13" s="58">
        <f t="shared" si="1"/>
        <v>27901</v>
      </c>
      <c r="I13" s="58">
        <v>83703</v>
      </c>
    </row>
    <row r="14" spans="1:13" ht="320" x14ac:dyDescent="0.2">
      <c r="A14" s="52">
        <v>5100</v>
      </c>
      <c r="B14" s="52">
        <v>160</v>
      </c>
      <c r="C14" s="52"/>
      <c r="D14" s="52"/>
      <c r="E14" s="15" t="s">
        <v>69</v>
      </c>
      <c r="F14" s="59"/>
      <c r="G14" s="57">
        <f t="shared" si="0"/>
        <v>200000</v>
      </c>
      <c r="H14" s="57">
        <f t="shared" si="1"/>
        <v>100000</v>
      </c>
      <c r="I14" s="57">
        <v>300000</v>
      </c>
    </row>
    <row r="15" spans="1:13" ht="160" x14ac:dyDescent="0.2">
      <c r="A15" s="52">
        <v>5100</v>
      </c>
      <c r="B15" s="52">
        <v>160</v>
      </c>
      <c r="C15" s="52"/>
      <c r="D15" s="52"/>
      <c r="E15" s="12" t="s">
        <v>70</v>
      </c>
      <c r="F15" s="60"/>
      <c r="G15" s="57">
        <f t="shared" si="0"/>
        <v>117000</v>
      </c>
      <c r="H15" s="57">
        <f t="shared" si="1"/>
        <v>58500</v>
      </c>
      <c r="I15" s="57">
        <v>175500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2808890AC8B94A85D458C8B3783BCA" ma:contentTypeVersion="12" ma:contentTypeDescription="Create a new document." ma:contentTypeScope="" ma:versionID="9046dc700801df0108c573a6d65f0629">
  <xsd:schema xmlns:xsd="http://www.w3.org/2001/XMLSchema" xmlns:xs="http://www.w3.org/2001/XMLSchema" xmlns:p="http://schemas.microsoft.com/office/2006/metadata/properties" xmlns:ns3="4d2a5700-75d8-4ed3-af7b-7dc38ae2f4b1" xmlns:ns4="4c5802c3-f05c-44c8-aeb0-4ed01f910cf5" targetNamespace="http://schemas.microsoft.com/office/2006/metadata/properties" ma:root="true" ma:fieldsID="6f1c917878f75225819cde491ea52501" ns3:_="" ns4:_="">
    <xsd:import namespace="4d2a5700-75d8-4ed3-af7b-7dc38ae2f4b1"/>
    <xsd:import namespace="4c5802c3-f05c-44c8-aeb0-4ed01f910cf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2a5700-75d8-4ed3-af7b-7dc38ae2f4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5802c3-f05c-44c8-aeb0-4ed01f910c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4BC876-3D9A-474F-AF90-23C8A1BCF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2a5700-75d8-4ed3-af7b-7dc38ae2f4b1"/>
    <ds:schemaRef ds:uri="4c5802c3-f05c-44c8-aeb0-4ed01f910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3.xml><?xml version="1.0" encoding="utf-8"?>
<ds:datastoreItem xmlns:ds="http://schemas.openxmlformats.org/officeDocument/2006/customXml" ds:itemID="{D1D9630B-119C-40F2-A3DA-70F1F5262772}">
  <ds:schemaRefs>
    <ds:schemaRef ds:uri="http://purl.org/dc/terms/"/>
    <ds:schemaRef ds:uri="http://schemas.microsoft.com/office/2006/documentManagement/types"/>
    <ds:schemaRef ds:uri="4c5802c3-f05c-44c8-aeb0-4ed01f910cf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d2a5700-75d8-4ed3-af7b-7dc38ae2f4b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Sheet1</vt:lpstr>
      <vt:lpstr>Sheet2</vt:lpstr>
      <vt:lpstr>Account_Title</vt:lpstr>
      <vt:lpstr>Activity_Number</vt:lpstr>
      <vt:lpstr>Amount_for_1_3_allocation</vt:lpstr>
      <vt:lpstr>Amount_for_2_3_allocation</vt:lpstr>
      <vt:lpstr>FTE__Position</vt:lpstr>
      <vt:lpstr>Function</vt:lpstr>
      <vt:lpstr>Object</vt:lpstr>
      <vt:lpstr>Sheet1!Print_Area</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2021-12-15T20:40:29Z</cp:lastPrinted>
  <dcterms:created xsi:type="dcterms:W3CDTF">2021-06-09T18:28:06Z</dcterms:created>
  <dcterms:modified xsi:type="dcterms:W3CDTF">2022-04-11T17:43:51Z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0x0101006D2808890AC8B94A85D458C8B3783BCA</vt:lpwstr>
  </property>
</Properties>
</file>